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Таня\Desktop\ФП2025\Фін план 2026р\Планування коштів   на 2026р\"/>
    </mc:Choice>
  </mc:AlternateContent>
  <xr:revisionPtr revIDLastSave="0" documentId="13_ncr:1_{2A97A6A1-39CB-4EBF-8488-29249F81DD3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Осн. фін. пок." sheetId="1" r:id="rId1"/>
    <sheet name="I. Фін результат_8,0%" sheetId="2" r:id="rId2"/>
    <sheet name="ІІ. Розр. з бюджетом" sheetId="3" r:id="rId3"/>
    <sheet name="ІІІ. Рух грош. коштів" sheetId="4" r:id="rId4"/>
    <sheet name="IV. Кап. інвестиції" sheetId="5" r:id="rId5"/>
    <sheet name=" V. Коефіцієнти" sheetId="6" r:id="rId6"/>
    <sheet name="до плану Посадові оклади" sheetId="7" r:id="rId7"/>
    <sheet name="Розр ФОП на кв_рік" sheetId="8" r:id="rId8"/>
    <sheet name="6.1. Інша інфо_1" sheetId="9" r:id="rId9"/>
    <sheet name="6.2. Інша інфо_2" sheetId="10" r:id="rId10"/>
    <sheet name="дод2_претенз позов робо" sheetId="11" r:id="rId11"/>
    <sheet name="дод3 Майно" sheetId="12" r:id="rId12"/>
    <sheet name="дод4 інфо по діяльності" sheetId="13" r:id="rId13"/>
    <sheet name="штатний 2 проєкт" sheetId="14" r:id="rId14"/>
  </sheets>
  <externalReferences>
    <externalReference r:id="rId15"/>
  </externalReferences>
  <definedNames>
    <definedName name="_ER_" localSheetId="1">'I. Фін результат_8,0%'!$A$1:$R$149</definedName>
    <definedName name="_FilterDatabase_0" localSheetId="1">'I. Фін результат_8,0%'!$A$1:$R$149</definedName>
    <definedName name="_FilterDatabase_0_0" localSheetId="1">'I. Фін результат_8,0%'!$A$1:$R$149</definedName>
    <definedName name="_FilterDatabase_0_0_0" localSheetId="1">'I. Фін результат_8,0%'!$A$1:$R$149</definedName>
    <definedName name="_FilterDatabase_0_0_0_0" localSheetId="1">'I. Фін результат_8,0%'!$A$1:$R$149</definedName>
    <definedName name="_FilterDatabase_0_0_0_0_0" localSheetId="1">'I. Фін результат_8,0%'!$A$1:$R$149</definedName>
    <definedName name="_FilterDatabase_0_0_0_0_0_0" localSheetId="1">'I. Фін результат_8,0%'!$A$1:$R$149</definedName>
    <definedName name="_FilterDatabase_0_0_0_0_0_0_0" localSheetId="1">'I. Фін результат_8,0%'!$A$1:$R$149</definedName>
    <definedName name="_GF_" localSheetId="1">'I. Фін результат_8,0%'!$A$1:$R$149</definedName>
    <definedName name="_I_O" localSheetId="1">'I. Фін результат_8,0%'!$A$1:$R$149</definedName>
    <definedName name="_JI_" localSheetId="1">'I. Фін результат_8,0%'!$A$1:$R$149</definedName>
    <definedName name="_OI_" localSheetId="1">'I. Фін результат_8,0%'!$A$1:$R$149</definedName>
    <definedName name="_SD_" localSheetId="1">'I. Фін результат_8,0%'!$A$1:$R$149</definedName>
    <definedName name="_YT_I" localSheetId="1">'I. Фін результат_8,0%'!$A$1:$R$149</definedName>
    <definedName name="_АП_" localSheetId="1">'I. Фін результат_8,0%'!$A$1:$R$149</definedName>
    <definedName name="_ПР_" localSheetId="1">'I. Фін результат_8,0%'!$A$1:$R$149</definedName>
    <definedName name="Excel_BuiltIn__FilterDatabase" localSheetId="1">'I. Фін результат_8,0%'!$A$1:$R$149</definedName>
    <definedName name="Excel_BuiltIn_Print_Area" localSheetId="8">'6.1. Інша інфо_1'!$A$1:$N$28</definedName>
    <definedName name="Excel_BuiltIn_Print_Area" localSheetId="9">'6.2. Інша інфо_2'!$A$1:$AG$48</definedName>
    <definedName name="Excel_BuiltIn_Print_Area" localSheetId="1">'I. Фін результат_8,0%'!$A$1:$K$148</definedName>
    <definedName name="Excel_BuiltIn_Print_Area" localSheetId="7">'Розр ФОП на кв_рік'!$A$1:$W$15</definedName>
    <definedName name="Excel_BuiltIn_Print_Area" localSheetId="13">'штатний 2 проєкт'!$A$1:$H$3</definedName>
    <definedName name="Print_Area_0" localSheetId="8">'6.1. Інша інфо_1'!$A$1:$O$73</definedName>
    <definedName name="Print_Area_0" localSheetId="9">'6.2. Інша інфо_2'!$A$1:$AG$73</definedName>
    <definedName name="Print_Area_0" localSheetId="1">'I. Фін результат_8,0%'!$A$1:$K$151</definedName>
    <definedName name="Print_Area_0" localSheetId="6">'до плану Посадові оклади'!$A$1:$M$24</definedName>
    <definedName name="Print_Area_0" localSheetId="11">'дод3 Майно'!$A$1:$G$24</definedName>
    <definedName name="Print_Area_0" localSheetId="12">'дод4 інфо по діяльності'!$A$1:$F$18</definedName>
    <definedName name="Print_Area_0" localSheetId="2">'ІІ. Розр. з бюджетом'!$A$1:$J$46</definedName>
    <definedName name="Print_Area_0" localSheetId="3">'ІІІ. Рух грош. коштів'!$A$1:$J$79</definedName>
    <definedName name="Print_Area_0" localSheetId="0">'Осн. фін. пок.'!$A$1:$F$83</definedName>
    <definedName name="Print_Area_0" localSheetId="7">'Розр ФОП на кв_рік'!$A$1:$S$24</definedName>
    <definedName name="Print_Area_0" localSheetId="13">'штатний 2 проєкт'!$A$1:$H$46</definedName>
    <definedName name="Print_Titles_0" localSheetId="1">'I. Фін результат_8,0%'!$2:$3</definedName>
    <definedName name="_xlnm.Print_Titles" localSheetId="1">'I. Фін результат_8,0%'!$2:$3</definedName>
    <definedName name="_xlnm.Print_Area" localSheetId="8">'6.1. Інша інфо_1'!$A$1:$O$65</definedName>
    <definedName name="_xlnm.Print_Area" localSheetId="9">'6.2. Інша інфо_2'!$A$1:$AG$73</definedName>
    <definedName name="_xlnm.Print_Area" localSheetId="1">'I. Фін результат_8,0%'!$A$1:$K$152</definedName>
    <definedName name="_xlnm.Print_Area" localSheetId="6">'до плану Посадові оклади'!$A$1:$O$24</definedName>
    <definedName name="_xlnm.Print_Area" localSheetId="12">'дод4 інфо по діяльності'!$A$1:$F$20</definedName>
    <definedName name="_xlnm.Print_Area" localSheetId="2">'ІІ. Розр. з бюджетом'!$A$1:$J$43</definedName>
    <definedName name="_xlnm.Print_Area" localSheetId="3">'ІІІ. Рух грош. коштів'!$A$1:$J$79</definedName>
    <definedName name="_xlnm.Print_Area" localSheetId="0">'Осн. фін. пок.'!$A$1:$F$83</definedName>
    <definedName name="_xlnm.Print_Area" localSheetId="7">'Розр ФОП на кв_рік'!$A$1:$S$24</definedName>
    <definedName name="_xlnm.Print_Area" localSheetId="13">'штатний 2 проєкт'!$A$1:$H$46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5" i="2" l="1"/>
  <c r="G142" i="2"/>
  <c r="G146" i="2"/>
  <c r="E98" i="2"/>
  <c r="E88" i="2" s="1"/>
  <c r="E53" i="2"/>
  <c r="E63" i="2"/>
  <c r="F99" i="2" l="1"/>
  <c r="F100" i="2"/>
  <c r="F101" i="2"/>
  <c r="F102" i="2"/>
  <c r="F103" i="2"/>
  <c r="F104" i="2"/>
  <c r="F105" i="2"/>
  <c r="F106" i="2"/>
  <c r="F107" i="2"/>
  <c r="F108" i="2"/>
  <c r="J100" i="2"/>
  <c r="J98" i="2" s="1"/>
  <c r="H100" i="2"/>
  <c r="H140" i="2" s="1"/>
  <c r="I100" i="2"/>
  <c r="I98" i="2" s="1"/>
  <c r="G100" i="2"/>
  <c r="G140" i="2" s="1"/>
  <c r="E85" i="2"/>
  <c r="D88" i="2"/>
  <c r="D85" i="2" s="1"/>
  <c r="I22" i="9"/>
  <c r="K22" i="9" s="1"/>
  <c r="G18" i="4"/>
  <c r="L14" i="8"/>
  <c r="H13" i="8"/>
  <c r="H12" i="8"/>
  <c r="H9" i="8"/>
  <c r="H11" i="8"/>
  <c r="E10" i="8"/>
  <c r="N10" i="8" s="1"/>
  <c r="H10" i="8"/>
  <c r="F10" i="8" s="1"/>
  <c r="E14" i="8"/>
  <c r="N14" i="8" s="1"/>
  <c r="E13" i="8"/>
  <c r="E12" i="8"/>
  <c r="E11" i="8"/>
  <c r="E9" i="8"/>
  <c r="N9" i="8" s="1"/>
  <c r="H98" i="2"/>
  <c r="G98" i="2"/>
  <c r="F98" i="2" s="1"/>
  <c r="G63" i="2"/>
  <c r="H18" i="4"/>
  <c r="I18" i="4"/>
  <c r="J18" i="4"/>
  <c r="E72" i="4"/>
  <c r="D76" i="4"/>
  <c r="C49" i="4"/>
  <c r="C72" i="4" s="1"/>
  <c r="C15" i="4"/>
  <c r="C5" i="4"/>
  <c r="I142" i="2"/>
  <c r="J140" i="2" l="1"/>
  <c r="I140" i="2"/>
  <c r="M22" i="9"/>
  <c r="F97" i="2"/>
  <c r="F96" i="2"/>
  <c r="I23" i="9"/>
  <c r="I8" i="9"/>
  <c r="F12" i="9"/>
  <c r="D22" i="9"/>
  <c r="G19" i="14"/>
  <c r="G18" i="14"/>
  <c r="G20" i="14"/>
  <c r="A21" i="14"/>
  <c r="A22" i="14" s="1"/>
  <c r="A23" i="14" s="1"/>
  <c r="A24" i="14" s="1"/>
  <c r="G21" i="14"/>
  <c r="G22" i="14"/>
  <c r="G23" i="14"/>
  <c r="G24" i="14"/>
  <c r="G25" i="14"/>
  <c r="G26" i="14"/>
  <c r="G27" i="14"/>
  <c r="G28" i="14"/>
  <c r="D29" i="14"/>
  <c r="N11" i="8"/>
  <c r="G29" i="14" l="1"/>
  <c r="E45" i="2" l="1"/>
  <c r="E133" i="2" s="1"/>
  <c r="D45" i="2"/>
  <c r="D133" i="2" s="1"/>
  <c r="C45" i="2"/>
  <c r="C88" i="2"/>
  <c r="E11" i="13"/>
  <c r="D9" i="13"/>
  <c r="D10" i="13" s="1"/>
  <c r="C9" i="13"/>
  <c r="B9" i="13"/>
  <c r="F13" i="8"/>
  <c r="F12" i="8"/>
  <c r="F11" i="8"/>
  <c r="R11" i="8" s="1"/>
  <c r="F9" i="8"/>
  <c r="R9" i="8" s="1"/>
  <c r="G143" i="2"/>
  <c r="D8" i="9" l="1"/>
  <c r="G12" i="9"/>
  <c r="C89" i="2"/>
  <c r="H143" i="2"/>
  <c r="I143" i="2"/>
  <c r="J143" i="2"/>
  <c r="H9" i="4"/>
  <c r="I9" i="4"/>
  <c r="J9" i="4"/>
  <c r="G9" i="4"/>
  <c r="G7" i="4" s="1"/>
  <c r="H88" i="2" l="1"/>
  <c r="H142" i="2"/>
  <c r="J142" i="2"/>
  <c r="H10" i="7"/>
  <c r="H11" i="7"/>
  <c r="N12" i="8"/>
  <c r="R12" i="8" s="1"/>
  <c r="D89" i="2"/>
  <c r="F94" i="2"/>
  <c r="H45" i="2"/>
  <c r="I45" i="2"/>
  <c r="J45" i="2"/>
  <c r="G45" i="2"/>
  <c r="F8" i="9"/>
  <c r="F45" i="2" l="1"/>
  <c r="F142" i="2"/>
  <c r="G88" i="2"/>
  <c r="G85" i="2" s="1"/>
  <c r="F95" i="2"/>
  <c r="G133" i="2" l="1"/>
  <c r="E5" i="4"/>
  <c r="E29" i="3"/>
  <c r="D29" i="3"/>
  <c r="C76" i="4"/>
  <c r="C27" i="4"/>
  <c r="C29" i="3"/>
  <c r="C22" i="3" s="1"/>
  <c r="C32" i="3" s="1"/>
  <c r="C57" i="1" s="1"/>
  <c r="H35" i="12"/>
  <c r="G34" i="12"/>
  <c r="H34" i="12" s="1"/>
  <c r="F33" i="12"/>
  <c r="E33" i="12"/>
  <c r="E38" i="12" s="1"/>
  <c r="F32" i="12"/>
  <c r="G32" i="12" s="1"/>
  <c r="H32" i="12" s="1"/>
  <c r="F31" i="12"/>
  <c r="G31" i="12" s="1"/>
  <c r="H31" i="12" s="1"/>
  <c r="F30" i="12"/>
  <c r="G30" i="12" s="1"/>
  <c r="D30" i="12"/>
  <c r="G29" i="12"/>
  <c r="G38" i="12" s="1"/>
  <c r="F29" i="12"/>
  <c r="D17" i="12"/>
  <c r="F16" i="12"/>
  <c r="F15" i="12"/>
  <c r="F14" i="12"/>
  <c r="F13" i="12"/>
  <c r="E12" i="12"/>
  <c r="F12" i="12" s="1"/>
  <c r="E11" i="12"/>
  <c r="F11" i="12" s="1"/>
  <c r="F10" i="12"/>
  <c r="F9" i="12"/>
  <c r="E9" i="12"/>
  <c r="Q66" i="10"/>
  <c r="Q65" i="10" s="1"/>
  <c r="Q64" i="10" s="1"/>
  <c r="N66" i="10"/>
  <c r="N65" i="10" s="1"/>
  <c r="N64" i="10" s="1"/>
  <c r="K65" i="10"/>
  <c r="K64" i="10" s="1"/>
  <c r="Q62" i="10"/>
  <c r="Q61" i="10" s="1"/>
  <c r="N62" i="10"/>
  <c r="K62" i="10"/>
  <c r="K61" i="10" s="1"/>
  <c r="N61" i="10"/>
  <c r="S48" i="10"/>
  <c r="Q48" i="10"/>
  <c r="O48" i="10"/>
  <c r="K48" i="10"/>
  <c r="I48" i="10"/>
  <c r="G48" i="10"/>
  <c r="E48" i="10"/>
  <c r="M47" i="10"/>
  <c r="M46" i="10"/>
  <c r="M45" i="10"/>
  <c r="T37" i="10"/>
  <c r="R37" i="10"/>
  <c r="P37" i="10"/>
  <c r="N37" i="10"/>
  <c r="L37" i="10" s="1"/>
  <c r="K37" i="10"/>
  <c r="J37" i="10"/>
  <c r="I37" i="10"/>
  <c r="H37" i="10"/>
  <c r="L36" i="10"/>
  <c r="G36" i="10"/>
  <c r="X35" i="10"/>
  <c r="V35" i="10" s="1"/>
  <c r="L35" i="10"/>
  <c r="G35" i="10"/>
  <c r="X34" i="10"/>
  <c r="V34" i="10" s="1"/>
  <c r="L34" i="10"/>
  <c r="G34" i="10"/>
  <c r="X33" i="10"/>
  <c r="V33" i="10" s="1"/>
  <c r="L33" i="10"/>
  <c r="G33" i="10"/>
  <c r="AD26" i="10"/>
  <c r="AB26" i="10"/>
  <c r="Z26" i="10"/>
  <c r="X26" i="10"/>
  <c r="T26" i="10"/>
  <c r="R26" i="10"/>
  <c r="P26" i="10"/>
  <c r="N26" i="10"/>
  <c r="K26" i="10"/>
  <c r="J26" i="10"/>
  <c r="I26" i="10"/>
  <c r="H26" i="10"/>
  <c r="V25" i="10"/>
  <c r="G25" i="10"/>
  <c r="V24" i="10"/>
  <c r="G24" i="10"/>
  <c r="G26" i="10" s="1"/>
  <c r="V23" i="10"/>
  <c r="G23" i="10"/>
  <c r="AD17" i="10"/>
  <c r="AB17" i="10"/>
  <c r="Z17" i="10"/>
  <c r="X17" i="10"/>
  <c r="V16" i="10"/>
  <c r="V15" i="10"/>
  <c r="V14" i="10"/>
  <c r="AC8" i="10"/>
  <c r="Z8" i="10"/>
  <c r="W8" i="10"/>
  <c r="T8" i="10"/>
  <c r="Q8" i="10"/>
  <c r="M7" i="10"/>
  <c r="M6" i="10"/>
  <c r="M5" i="10"/>
  <c r="M4" i="10"/>
  <c r="J51" i="9"/>
  <c r="I27" i="9"/>
  <c r="F27" i="9"/>
  <c r="F26" i="9"/>
  <c r="I25" i="9"/>
  <c r="M23" i="9"/>
  <c r="K23" i="9"/>
  <c r="E23" i="9"/>
  <c r="D23" i="9"/>
  <c r="D27" i="9" s="1"/>
  <c r="E22" i="9"/>
  <c r="D26" i="9"/>
  <c r="I17" i="9"/>
  <c r="G16" i="9"/>
  <c r="G24" i="9" s="1"/>
  <c r="G20" i="9" s="1"/>
  <c r="F16" i="9"/>
  <c r="D16" i="9"/>
  <c r="D12" i="9"/>
  <c r="M11" i="9"/>
  <c r="K11" i="9"/>
  <c r="M10" i="9"/>
  <c r="K10" i="9"/>
  <c r="M8" i="9"/>
  <c r="K8" i="9"/>
  <c r="N13" i="8"/>
  <c r="R13" i="8" s="1"/>
  <c r="S12" i="8"/>
  <c r="X11" i="8"/>
  <c r="X10" i="8"/>
  <c r="X9" i="8"/>
  <c r="X8" i="8"/>
  <c r="S8" i="8"/>
  <c r="S7" i="8" s="1"/>
  <c r="F8" i="8"/>
  <c r="Q7" i="8"/>
  <c r="P7" i="8"/>
  <c r="O7" i="8"/>
  <c r="K7" i="8"/>
  <c r="I7" i="8"/>
  <c r="H7" i="8"/>
  <c r="D7" i="8"/>
  <c r="M14" i="7"/>
  <c r="H14" i="7"/>
  <c r="H13" i="7"/>
  <c r="H12" i="7"/>
  <c r="G11" i="6"/>
  <c r="J12" i="5"/>
  <c r="J11" i="5" s="1"/>
  <c r="I12" i="5"/>
  <c r="H12" i="5"/>
  <c r="H11" i="5" s="1"/>
  <c r="G12" i="5"/>
  <c r="I11" i="5"/>
  <c r="F10" i="5"/>
  <c r="J9" i="5"/>
  <c r="I9" i="5"/>
  <c r="H9" i="5"/>
  <c r="F8" i="5"/>
  <c r="J7" i="5"/>
  <c r="I7" i="5"/>
  <c r="H7" i="5"/>
  <c r="G7" i="5"/>
  <c r="F6" i="5"/>
  <c r="F73" i="4"/>
  <c r="F70" i="4"/>
  <c r="F69" i="4"/>
  <c r="F68" i="4"/>
  <c r="J67" i="4"/>
  <c r="I67" i="4"/>
  <c r="H67" i="4"/>
  <c r="G67" i="4"/>
  <c r="E67" i="4"/>
  <c r="D67" i="4"/>
  <c r="C67" i="4"/>
  <c r="F66" i="4"/>
  <c r="F65" i="4"/>
  <c r="F64" i="4"/>
  <c r="J63" i="4"/>
  <c r="H63" i="4"/>
  <c r="G63" i="4"/>
  <c r="E63" i="4"/>
  <c r="D63" i="4"/>
  <c r="C63" i="4"/>
  <c r="J62" i="4"/>
  <c r="I62" i="4"/>
  <c r="H62" i="4"/>
  <c r="G62" i="4"/>
  <c r="J60" i="4"/>
  <c r="J71" i="4" s="1"/>
  <c r="I60" i="4"/>
  <c r="I71" i="4" s="1"/>
  <c r="H60" i="4"/>
  <c r="H71" i="4" s="1"/>
  <c r="G60" i="4"/>
  <c r="G71" i="4" s="1"/>
  <c r="F59" i="4"/>
  <c r="F58" i="4"/>
  <c r="F57" i="4"/>
  <c r="F56" i="4"/>
  <c r="J55" i="4"/>
  <c r="I55" i="4"/>
  <c r="H55" i="4"/>
  <c r="G55" i="4"/>
  <c r="F54" i="4"/>
  <c r="F53" i="4"/>
  <c r="F52" i="4"/>
  <c r="J51" i="4"/>
  <c r="I51" i="4"/>
  <c r="H51" i="4"/>
  <c r="G51" i="4"/>
  <c r="F50" i="4"/>
  <c r="D72" i="4"/>
  <c r="F46" i="4"/>
  <c r="F45" i="4"/>
  <c r="J44" i="4"/>
  <c r="J39" i="4" s="1"/>
  <c r="I44" i="4"/>
  <c r="I39" i="4" s="1"/>
  <c r="H44" i="4"/>
  <c r="G44" i="4"/>
  <c r="F43" i="4"/>
  <c r="F42" i="4"/>
  <c r="F41" i="4"/>
  <c r="F40" i="4"/>
  <c r="H39" i="4"/>
  <c r="G39" i="4"/>
  <c r="E39" i="4"/>
  <c r="D39" i="4"/>
  <c r="C39" i="4"/>
  <c r="C47" i="4" s="1"/>
  <c r="F38" i="4"/>
  <c r="J37" i="4"/>
  <c r="J35" i="4" s="1"/>
  <c r="J33" i="4" s="1"/>
  <c r="J30" i="4" s="1"/>
  <c r="I37" i="4"/>
  <c r="I35" i="4" s="1"/>
  <c r="H37" i="4"/>
  <c r="H35" i="4" s="1"/>
  <c r="H32" i="4" s="1"/>
  <c r="G37" i="4"/>
  <c r="G35" i="4" s="1"/>
  <c r="G32" i="4" s="1"/>
  <c r="F36" i="4"/>
  <c r="J34" i="4"/>
  <c r="J31" i="4" s="1"/>
  <c r="I34" i="4"/>
  <c r="H34" i="4"/>
  <c r="H31" i="4" s="1"/>
  <c r="G34" i="4"/>
  <c r="I31" i="4"/>
  <c r="E29" i="4"/>
  <c r="E47" i="4" s="1"/>
  <c r="D29" i="4"/>
  <c r="D47" i="4" s="1"/>
  <c r="J25" i="4"/>
  <c r="I25" i="4"/>
  <c r="H25" i="4"/>
  <c r="G25" i="4"/>
  <c r="D25" i="4"/>
  <c r="D15" i="4" s="1"/>
  <c r="C25" i="4"/>
  <c r="E24" i="4"/>
  <c r="C24" i="4"/>
  <c r="F23" i="4"/>
  <c r="F21" i="4"/>
  <c r="F20" i="4"/>
  <c r="F19" i="4"/>
  <c r="J15" i="4"/>
  <c r="I15" i="4"/>
  <c r="H15" i="4"/>
  <c r="G15" i="4"/>
  <c r="F17" i="4"/>
  <c r="F16" i="4"/>
  <c r="E15" i="4"/>
  <c r="J14" i="4"/>
  <c r="I14" i="4"/>
  <c r="H14" i="4"/>
  <c r="G14" i="4"/>
  <c r="J13" i="4"/>
  <c r="I13" i="4"/>
  <c r="H13" i="4"/>
  <c r="G13" i="4"/>
  <c r="F11" i="4"/>
  <c r="F10" i="4"/>
  <c r="F8" i="4"/>
  <c r="D5" i="4"/>
  <c r="F31" i="3"/>
  <c r="F56" i="1" s="1"/>
  <c r="F30" i="3"/>
  <c r="J29" i="3"/>
  <c r="J22" i="3" s="1"/>
  <c r="I29" i="3"/>
  <c r="I22" i="3" s="1"/>
  <c r="H29" i="3"/>
  <c r="H22" i="3" s="1"/>
  <c r="G29" i="3"/>
  <c r="G22" i="3" s="1"/>
  <c r="D22" i="3"/>
  <c r="D55" i="1" s="1"/>
  <c r="F28" i="3"/>
  <c r="F27" i="3"/>
  <c r="F26" i="3"/>
  <c r="F25" i="3"/>
  <c r="F24" i="3"/>
  <c r="F23" i="3"/>
  <c r="E22" i="3"/>
  <c r="E32" i="3" s="1"/>
  <c r="E57" i="1" s="1"/>
  <c r="F21" i="3"/>
  <c r="J19" i="3"/>
  <c r="J22" i="4" s="1"/>
  <c r="I19" i="3"/>
  <c r="I22" i="4" s="1"/>
  <c r="H19" i="3"/>
  <c r="H22" i="4" s="1"/>
  <c r="G19" i="3"/>
  <c r="G22" i="4" s="1"/>
  <c r="J18" i="3"/>
  <c r="I18" i="3"/>
  <c r="H18" i="3"/>
  <c r="E16" i="3"/>
  <c r="D16" i="3"/>
  <c r="B16" i="3"/>
  <c r="F15" i="3"/>
  <c r="F14" i="3"/>
  <c r="J13" i="3"/>
  <c r="J12" i="3" s="1"/>
  <c r="J11" i="3" s="1"/>
  <c r="J10" i="3" s="1"/>
  <c r="J9" i="3" s="1"/>
  <c r="I13" i="3"/>
  <c r="I12" i="3" s="1"/>
  <c r="I11" i="3" s="1"/>
  <c r="I10" i="3" s="1"/>
  <c r="I9" i="3" s="1"/>
  <c r="H13" i="3"/>
  <c r="H12" i="3" s="1"/>
  <c r="H11" i="3" s="1"/>
  <c r="H10" i="3" s="1"/>
  <c r="H9" i="3" s="1"/>
  <c r="G13" i="3"/>
  <c r="G12" i="3" s="1"/>
  <c r="E13" i="3"/>
  <c r="E12" i="3" s="1"/>
  <c r="E11" i="3" s="1"/>
  <c r="E10" i="3" s="1"/>
  <c r="E9" i="3" s="1"/>
  <c r="D13" i="3"/>
  <c r="D12" i="3" s="1"/>
  <c r="D11" i="3" s="1"/>
  <c r="D10" i="3" s="1"/>
  <c r="D9" i="3" s="1"/>
  <c r="F8" i="3"/>
  <c r="F7" i="3"/>
  <c r="J144" i="2"/>
  <c r="J146" i="2" s="1"/>
  <c r="I144" i="2"/>
  <c r="I146" i="2" s="1"/>
  <c r="H144" i="2"/>
  <c r="G144" i="2"/>
  <c r="E144" i="2"/>
  <c r="E146" i="2" s="1"/>
  <c r="D144" i="2"/>
  <c r="J141" i="2"/>
  <c r="J139" i="2" s="1"/>
  <c r="I141" i="2"/>
  <c r="I139" i="2" s="1"/>
  <c r="H141" i="2"/>
  <c r="H139" i="2" s="1"/>
  <c r="G141" i="2"/>
  <c r="C140" i="2"/>
  <c r="C139" i="2" s="1"/>
  <c r="C146" i="2" s="1"/>
  <c r="J134" i="2"/>
  <c r="I134" i="2"/>
  <c r="H134" i="2"/>
  <c r="G134" i="2"/>
  <c r="F131" i="2"/>
  <c r="F129" i="2"/>
  <c r="F127" i="2"/>
  <c r="F126" i="2"/>
  <c r="F48" i="1" s="1"/>
  <c r="F124" i="2"/>
  <c r="F123" i="2"/>
  <c r="F122" i="2"/>
  <c r="F121" i="2"/>
  <c r="J120" i="2"/>
  <c r="I120" i="2"/>
  <c r="H120" i="2"/>
  <c r="G120" i="2"/>
  <c r="E120" i="2"/>
  <c r="D120" i="2"/>
  <c r="C120" i="2"/>
  <c r="F119" i="2"/>
  <c r="F118" i="2"/>
  <c r="J117" i="2"/>
  <c r="J135" i="2" s="1"/>
  <c r="I117" i="2"/>
  <c r="H117" i="2"/>
  <c r="G117" i="2"/>
  <c r="E117" i="2"/>
  <c r="D117" i="2"/>
  <c r="C117" i="2"/>
  <c r="F116" i="2"/>
  <c r="F115" i="2"/>
  <c r="F114" i="2"/>
  <c r="F113" i="2"/>
  <c r="E113" i="2"/>
  <c r="D113" i="2"/>
  <c r="F112" i="2"/>
  <c r="F110" i="2"/>
  <c r="I88" i="2"/>
  <c r="F93" i="2"/>
  <c r="F92" i="2"/>
  <c r="F90" i="2"/>
  <c r="F89" i="2"/>
  <c r="C85" i="2"/>
  <c r="F87" i="2"/>
  <c r="F86" i="2"/>
  <c r="F84" i="2"/>
  <c r="F83" i="2" s="1"/>
  <c r="J83" i="2"/>
  <c r="J80" i="2" s="1"/>
  <c r="I83" i="2"/>
  <c r="H83" i="2"/>
  <c r="G83" i="2"/>
  <c r="G80" i="2" s="1"/>
  <c r="E83" i="2"/>
  <c r="E80" i="2" s="1"/>
  <c r="E42" i="1" s="1"/>
  <c r="D83" i="2"/>
  <c r="D80" i="2" s="1"/>
  <c r="D42" i="1" s="1"/>
  <c r="C83" i="2"/>
  <c r="C80" i="2" s="1"/>
  <c r="C42" i="1" s="1"/>
  <c r="F82" i="2"/>
  <c r="F81" i="2"/>
  <c r="I80" i="2"/>
  <c r="H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J63" i="2"/>
  <c r="J53" i="2" s="1"/>
  <c r="I63" i="2"/>
  <c r="I53" i="2" s="1"/>
  <c r="H63" i="2"/>
  <c r="H53" i="2" s="1"/>
  <c r="G53" i="2"/>
  <c r="G111" i="2" s="1"/>
  <c r="D63" i="2"/>
  <c r="D53" i="2" s="1"/>
  <c r="C63" i="2"/>
  <c r="C53" i="2" s="1"/>
  <c r="C41" i="1" s="1"/>
  <c r="F62" i="2"/>
  <c r="F61" i="2"/>
  <c r="F60" i="2"/>
  <c r="F59" i="2"/>
  <c r="F58" i="2"/>
  <c r="F57" i="2"/>
  <c r="F56" i="2"/>
  <c r="F55" i="2"/>
  <c r="F54" i="2"/>
  <c r="F52" i="2"/>
  <c r="F50" i="2"/>
  <c r="F48" i="2"/>
  <c r="J7" i="4"/>
  <c r="I7" i="4"/>
  <c r="H7" i="4"/>
  <c r="F46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J21" i="2"/>
  <c r="J15" i="2" s="1"/>
  <c r="I21" i="2"/>
  <c r="I15" i="2" s="1"/>
  <c r="H21" i="2"/>
  <c r="H15" i="2" s="1"/>
  <c r="G21" i="2"/>
  <c r="G15" i="2" s="1"/>
  <c r="E21" i="2"/>
  <c r="E15" i="2" s="1"/>
  <c r="D21" i="2"/>
  <c r="D15" i="2" s="1"/>
  <c r="D39" i="1" s="1"/>
  <c r="C21" i="2"/>
  <c r="C15" i="2" s="1"/>
  <c r="F20" i="2"/>
  <c r="F19" i="2"/>
  <c r="F18" i="2"/>
  <c r="F17" i="2"/>
  <c r="F16" i="2"/>
  <c r="F14" i="2"/>
  <c r="F13" i="2"/>
  <c r="F12" i="2"/>
  <c r="AA11" i="2"/>
  <c r="Y11" i="2"/>
  <c r="F11" i="2"/>
  <c r="F10" i="2"/>
  <c r="F9" i="2"/>
  <c r="F8" i="2"/>
  <c r="F7" i="2"/>
  <c r="J6" i="2"/>
  <c r="J20" i="3" s="1"/>
  <c r="J24" i="4" s="1"/>
  <c r="I6" i="2"/>
  <c r="H6" i="2"/>
  <c r="H20" i="3" s="1"/>
  <c r="H24" i="4" s="1"/>
  <c r="G6" i="2"/>
  <c r="G20" i="3" s="1"/>
  <c r="E6" i="2"/>
  <c r="E38" i="1" s="1"/>
  <c r="F12" i="6" s="1"/>
  <c r="E67" i="1" s="1"/>
  <c r="D6" i="2"/>
  <c r="C6" i="2"/>
  <c r="C136" i="2" s="1"/>
  <c r="F75" i="1"/>
  <c r="G10" i="6" s="1"/>
  <c r="F66" i="1" s="1"/>
  <c r="E75" i="1"/>
  <c r="D75" i="1"/>
  <c r="C75" i="1"/>
  <c r="F72" i="1"/>
  <c r="E72" i="1"/>
  <c r="E78" i="1" s="1"/>
  <c r="D72" i="1"/>
  <c r="D78" i="1" s="1"/>
  <c r="C72" i="1"/>
  <c r="C67" i="1"/>
  <c r="C66" i="1"/>
  <c r="D65" i="1"/>
  <c r="C65" i="1"/>
  <c r="E63" i="1"/>
  <c r="D63" i="1"/>
  <c r="C63" i="1"/>
  <c r="B63" i="1"/>
  <c r="C61" i="1"/>
  <c r="D60" i="1"/>
  <c r="C60" i="1"/>
  <c r="E59" i="1"/>
  <c r="D59" i="1"/>
  <c r="C59" i="1"/>
  <c r="B57" i="1"/>
  <c r="E56" i="1"/>
  <c r="D56" i="1"/>
  <c r="C56" i="1"/>
  <c r="B56" i="1"/>
  <c r="B55" i="1"/>
  <c r="E54" i="1"/>
  <c r="D54" i="1"/>
  <c r="C54" i="1"/>
  <c r="E53" i="1"/>
  <c r="D53" i="1"/>
  <c r="C53" i="1"/>
  <c r="B53" i="1"/>
  <c r="E52" i="1"/>
  <c r="D52" i="1"/>
  <c r="C52" i="1"/>
  <c r="B50" i="1"/>
  <c r="C49" i="1"/>
  <c r="B49" i="1"/>
  <c r="E48" i="1"/>
  <c r="D48" i="1"/>
  <c r="C48" i="1"/>
  <c r="B48" i="1"/>
  <c r="C47" i="1"/>
  <c r="B47" i="1"/>
  <c r="E46" i="1"/>
  <c r="D46" i="1"/>
  <c r="C46" i="1"/>
  <c r="B46" i="1"/>
  <c r="E45" i="1"/>
  <c r="D45" i="1"/>
  <c r="C45" i="1"/>
  <c r="B45" i="1"/>
  <c r="B44" i="1"/>
  <c r="C43" i="1"/>
  <c r="B43" i="1"/>
  <c r="B41" i="1"/>
  <c r="B40" i="1"/>
  <c r="B39" i="1"/>
  <c r="B38" i="1"/>
  <c r="F63" i="2" l="1"/>
  <c r="H146" i="2"/>
  <c r="F146" i="2" s="1"/>
  <c r="D41" i="1"/>
  <c r="D111" i="2"/>
  <c r="F53" i="2"/>
  <c r="V26" i="10"/>
  <c r="F7" i="5"/>
  <c r="D20" i="9"/>
  <c r="D24" i="9" s="1"/>
  <c r="E17" i="12"/>
  <c r="C39" i="1"/>
  <c r="C137" i="2"/>
  <c r="F25" i="4"/>
  <c r="I5" i="5"/>
  <c r="F5" i="5" s="1"/>
  <c r="F63" i="1" s="1"/>
  <c r="F41" i="1"/>
  <c r="E41" i="1"/>
  <c r="T68" i="10"/>
  <c r="E10" i="6"/>
  <c r="D66" i="1" s="1"/>
  <c r="T67" i="10"/>
  <c r="S13" i="8"/>
  <c r="D44" i="2"/>
  <c r="D40" i="1" s="1"/>
  <c r="C44" i="2"/>
  <c r="C40" i="1" s="1"/>
  <c r="C38" i="1"/>
  <c r="F13" i="3"/>
  <c r="F26" i="4"/>
  <c r="F67" i="4"/>
  <c r="K70" i="10"/>
  <c r="C78" i="1"/>
  <c r="F44" i="4"/>
  <c r="F55" i="4"/>
  <c r="F12" i="5"/>
  <c r="M27" i="9"/>
  <c r="V17" i="10"/>
  <c r="F10" i="6"/>
  <c r="E66" i="1" s="1"/>
  <c r="F34" i="4"/>
  <c r="F37" i="4"/>
  <c r="F51" i="4"/>
  <c r="X37" i="10"/>
  <c r="V37" i="10" s="1"/>
  <c r="G37" i="10"/>
  <c r="I61" i="4"/>
  <c r="F38" i="12"/>
  <c r="J61" i="4"/>
  <c r="F63" i="4"/>
  <c r="M48" i="10"/>
  <c r="G33" i="12"/>
  <c r="H33" i="12" s="1"/>
  <c r="F62" i="4"/>
  <c r="F9" i="5"/>
  <c r="M8" i="10"/>
  <c r="N70" i="10"/>
  <c r="H30" i="12"/>
  <c r="D32" i="3"/>
  <c r="D57" i="1" s="1"/>
  <c r="K27" i="9"/>
  <c r="S9" i="8"/>
  <c r="F80" i="2"/>
  <c r="F42" i="1" s="1"/>
  <c r="F117" i="2"/>
  <c r="G12" i="4"/>
  <c r="D146" i="2"/>
  <c r="W11" i="2"/>
  <c r="F141" i="2"/>
  <c r="F144" i="2"/>
  <c r="F18" i="3"/>
  <c r="F52" i="1" s="1"/>
  <c r="D38" i="1"/>
  <c r="E12" i="6" s="1"/>
  <c r="D67" i="1" s="1"/>
  <c r="F134" i="2"/>
  <c r="F45" i="1" s="1"/>
  <c r="J12" i="4"/>
  <c r="F6" i="2"/>
  <c r="F38" i="1" s="1"/>
  <c r="J49" i="4"/>
  <c r="D137" i="2"/>
  <c r="I12" i="4"/>
  <c r="I5" i="4" s="1"/>
  <c r="I27" i="4" s="1"/>
  <c r="G49" i="4"/>
  <c r="L98" i="2"/>
  <c r="F13" i="4"/>
  <c r="H49" i="4"/>
  <c r="H44" i="2"/>
  <c r="F120" i="2"/>
  <c r="D136" i="2"/>
  <c r="H12" i="4"/>
  <c r="F12" i="4" s="1"/>
  <c r="I135" i="2"/>
  <c r="H85" i="2"/>
  <c r="AC66" i="10"/>
  <c r="AC65" i="10" s="1"/>
  <c r="AC64" i="10" s="1"/>
  <c r="AC70" i="10" s="1"/>
  <c r="I85" i="2"/>
  <c r="I133" i="2" s="1"/>
  <c r="F22" i="3"/>
  <c r="F55" i="1" s="1"/>
  <c r="F29" i="3"/>
  <c r="AA66" i="10"/>
  <c r="E27" i="4"/>
  <c r="D27" i="4"/>
  <c r="D61" i="1" s="1"/>
  <c r="C55" i="1"/>
  <c r="E55" i="1"/>
  <c r="F21" i="2"/>
  <c r="F15" i="2" s="1"/>
  <c r="I20" i="3"/>
  <c r="I24" i="4" s="1"/>
  <c r="I44" i="2"/>
  <c r="I136" i="2"/>
  <c r="AB11" i="2"/>
  <c r="H32" i="3"/>
  <c r="Q70" i="10"/>
  <c r="F39" i="4"/>
  <c r="F143" i="2"/>
  <c r="J32" i="3"/>
  <c r="F15" i="4"/>
  <c r="H61" i="4"/>
  <c r="E39" i="1"/>
  <c r="E137" i="2"/>
  <c r="F7" i="4"/>
  <c r="F9" i="4"/>
  <c r="G139" i="2"/>
  <c r="F22" i="4"/>
  <c r="I33" i="4"/>
  <c r="I30" i="4" s="1"/>
  <c r="I32" i="4"/>
  <c r="G61" i="4"/>
  <c r="F71" i="4"/>
  <c r="G24" i="4"/>
  <c r="W66" i="10"/>
  <c r="W63" i="10" s="1"/>
  <c r="W61" i="10" s="1"/>
  <c r="E44" i="2"/>
  <c r="E111" i="2" s="1"/>
  <c r="G11" i="3"/>
  <c r="F12" i="3"/>
  <c r="F35" i="4"/>
  <c r="F47" i="2"/>
  <c r="E136" i="2"/>
  <c r="G6" i="4"/>
  <c r="G5" i="4" s="1"/>
  <c r="G31" i="4"/>
  <c r="F31" i="4" s="1"/>
  <c r="J32" i="4"/>
  <c r="J29" i="4" s="1"/>
  <c r="J47" i="4" s="1"/>
  <c r="I49" i="4"/>
  <c r="I72" i="4" s="1"/>
  <c r="H29" i="12"/>
  <c r="H38" i="12" s="1"/>
  <c r="H6" i="4"/>
  <c r="F14" i="8"/>
  <c r="R14" i="8" s="1"/>
  <c r="E7" i="8"/>
  <c r="G135" i="2"/>
  <c r="G136" i="2"/>
  <c r="J6" i="4"/>
  <c r="G33" i="4"/>
  <c r="G11" i="5"/>
  <c r="F11" i="5" s="1"/>
  <c r="S14" i="8"/>
  <c r="D38" i="12"/>
  <c r="G44" i="2"/>
  <c r="H135" i="2"/>
  <c r="H136" i="2"/>
  <c r="G32" i="3"/>
  <c r="H33" i="4"/>
  <c r="H30" i="4" s="1"/>
  <c r="H29" i="4" s="1"/>
  <c r="H47" i="4" s="1"/>
  <c r="R10" i="8"/>
  <c r="F8" i="12"/>
  <c r="F17" i="12" s="1"/>
  <c r="F14" i="4"/>
  <c r="F18" i="4"/>
  <c r="F60" i="4"/>
  <c r="J5" i="5"/>
  <c r="C44" i="1"/>
  <c r="F19" i="3"/>
  <c r="F53" i="1" s="1"/>
  <c r="J44" i="2"/>
  <c r="J136" i="2"/>
  <c r="AA65" i="10" l="1"/>
  <c r="AA64" i="10" s="1"/>
  <c r="AA70" i="10" s="1"/>
  <c r="AA63" i="10"/>
  <c r="F61" i="4"/>
  <c r="R7" i="8"/>
  <c r="S11" i="8"/>
  <c r="D44" i="1"/>
  <c r="F135" i="2"/>
  <c r="F46" i="1" s="1"/>
  <c r="J72" i="4"/>
  <c r="F49" i="4"/>
  <c r="F72" i="4" s="1"/>
  <c r="F32" i="4"/>
  <c r="H137" i="2"/>
  <c r="H133" i="2"/>
  <c r="J88" i="2"/>
  <c r="J85" i="2" s="1"/>
  <c r="F140" i="2"/>
  <c r="H72" i="4"/>
  <c r="Y66" i="10"/>
  <c r="AC63" i="10"/>
  <c r="AC62" i="10" s="1"/>
  <c r="F24" i="4"/>
  <c r="H5" i="4"/>
  <c r="H27" i="4" s="1"/>
  <c r="G72" i="4"/>
  <c r="F139" i="2"/>
  <c r="G12" i="6"/>
  <c r="F67" i="1" s="1"/>
  <c r="H111" i="2"/>
  <c r="I137" i="2"/>
  <c r="I111" i="2"/>
  <c r="I125" i="2" s="1"/>
  <c r="AA62" i="10"/>
  <c r="E77" i="4"/>
  <c r="E76" i="4" s="1"/>
  <c r="F39" i="1"/>
  <c r="F44" i="2"/>
  <c r="F40" i="1" s="1"/>
  <c r="F136" i="2"/>
  <c r="G27" i="4"/>
  <c r="G10" i="3"/>
  <c r="F11" i="3"/>
  <c r="I32" i="3"/>
  <c r="F32" i="3" s="1"/>
  <c r="F57" i="1" s="1"/>
  <c r="J5" i="4"/>
  <c r="J27" i="4" s="1"/>
  <c r="F6" i="4"/>
  <c r="I29" i="4"/>
  <c r="I47" i="4" s="1"/>
  <c r="I77" i="4" s="1"/>
  <c r="S10" i="8"/>
  <c r="N7" i="8"/>
  <c r="W65" i="10"/>
  <c r="W64" i="10" s="1"/>
  <c r="W70" i="10" s="1"/>
  <c r="J7" i="8"/>
  <c r="G30" i="4"/>
  <c r="F33" i="4"/>
  <c r="L7" i="8"/>
  <c r="E40" i="1"/>
  <c r="F20" i="3"/>
  <c r="F54" i="1" s="1"/>
  <c r="Y65" i="10" l="1"/>
  <c r="Y64" i="10" s="1"/>
  <c r="Y70" i="10" s="1"/>
  <c r="Y63" i="10"/>
  <c r="J77" i="4"/>
  <c r="H125" i="2"/>
  <c r="H130" i="2" s="1"/>
  <c r="D125" i="2"/>
  <c r="D128" i="2" s="1"/>
  <c r="F7" i="6" s="1"/>
  <c r="E65" i="1" s="1"/>
  <c r="T66" i="10"/>
  <c r="T65" i="10" s="1"/>
  <c r="J137" i="2"/>
  <c r="J133" i="2"/>
  <c r="F133" i="2" s="1"/>
  <c r="H77" i="4"/>
  <c r="J111" i="2"/>
  <c r="J125" i="2" s="1"/>
  <c r="J130" i="2" s="1"/>
  <c r="F88" i="2"/>
  <c r="AA61" i="10"/>
  <c r="AC61" i="10"/>
  <c r="I130" i="2"/>
  <c r="I128" i="2"/>
  <c r="E60" i="1"/>
  <c r="E61" i="1"/>
  <c r="G29" i="4"/>
  <c r="G47" i="4" s="1"/>
  <c r="F47" i="4" s="1"/>
  <c r="F30" i="4"/>
  <c r="F29" i="4" s="1"/>
  <c r="F7" i="8"/>
  <c r="F91" i="2"/>
  <c r="G9" i="3"/>
  <c r="F9" i="3" s="1"/>
  <c r="F10" i="3"/>
  <c r="E125" i="2"/>
  <c r="E44" i="1"/>
  <c r="W62" i="10"/>
  <c r="F5" i="4"/>
  <c r="F27" i="4" s="1"/>
  <c r="T63" i="10" l="1"/>
  <c r="Y61" i="10"/>
  <c r="T61" i="10" s="1"/>
  <c r="T64" i="10"/>
  <c r="T70" i="10" s="1"/>
  <c r="H128" i="2"/>
  <c r="F111" i="2"/>
  <c r="D47" i="1"/>
  <c r="D49" i="1"/>
  <c r="G77" i="4"/>
  <c r="F77" i="4"/>
  <c r="F76" i="4" s="1"/>
  <c r="F60" i="1" s="1"/>
  <c r="J128" i="2"/>
  <c r="Y62" i="10"/>
  <c r="T62" i="10" s="1"/>
  <c r="G74" i="4"/>
  <c r="F59" i="1"/>
  <c r="E128" i="2"/>
  <c r="E49" i="1" s="1"/>
  <c r="E47" i="1"/>
  <c r="G137" i="2"/>
  <c r="F85" i="2"/>
  <c r="G76" i="4" l="1"/>
  <c r="H74" i="4" s="1"/>
  <c r="H76" i="4" s="1"/>
  <c r="I74" i="4" s="1"/>
  <c r="I76" i="4" s="1"/>
  <c r="J74" i="4" s="1"/>
  <c r="J76" i="4" s="1"/>
  <c r="F61" i="1"/>
  <c r="I18" i="9"/>
  <c r="I26" i="9" s="1"/>
  <c r="K14" i="9"/>
  <c r="M14" i="9"/>
  <c r="I19" i="9"/>
  <c r="M15" i="9"/>
  <c r="K15" i="9"/>
  <c r="I12" i="9"/>
  <c r="F43" i="1"/>
  <c r="G125" i="2"/>
  <c r="F137" i="2"/>
  <c r="M26" i="9" l="1"/>
  <c r="K26" i="9"/>
  <c r="M18" i="9"/>
  <c r="K18" i="9"/>
  <c r="F44" i="1"/>
  <c r="F125" i="2"/>
  <c r="F47" i="1" s="1"/>
  <c r="I24" i="9"/>
  <c r="M12" i="9"/>
  <c r="K12" i="9"/>
  <c r="I20" i="9"/>
  <c r="K20" i="9" s="1"/>
  <c r="G130" i="2"/>
  <c r="G128" i="2"/>
  <c r="F128" i="2" s="1"/>
  <c r="F145" i="2"/>
  <c r="M19" i="9"/>
  <c r="K19" i="9"/>
  <c r="I16" i="9"/>
  <c r="F49" i="1" l="1"/>
  <c r="G7" i="6"/>
  <c r="M20" i="9"/>
  <c r="M24" i="9"/>
  <c r="K24" i="9"/>
  <c r="M16" i="9"/>
  <c r="K16" i="9"/>
  <c r="F130" i="2"/>
  <c r="F16" i="3" s="1"/>
  <c r="G16" i="3"/>
  <c r="H6" i="3" s="1"/>
  <c r="H16" i="3" s="1"/>
  <c r="I6" i="3" s="1"/>
  <c r="I16" i="3" s="1"/>
  <c r="J6" i="3" s="1"/>
  <c r="J16" i="3" s="1"/>
  <c r="F50" i="1"/>
  <c r="F65" i="1" l="1"/>
</calcChain>
</file>

<file path=xl/sharedStrings.xml><?xml version="1.0" encoding="utf-8"?>
<sst xmlns="http://schemas.openxmlformats.org/spreadsheetml/2006/main" count="1248" uniqueCount="907">
  <si>
    <t>Погоджено</t>
  </si>
  <si>
    <t>Затверджено</t>
  </si>
  <si>
    <t>Перший заступник міського голови з питань діяльності виконавчих органів ради, голова комісії</t>
  </si>
  <si>
    <t xml:space="preserve">рішенням міськвиконкому                            </t>
  </si>
  <si>
    <t>__________________С.ОЛЬШАНСЬКА</t>
  </si>
  <si>
    <t>Від "__" _________ 20     р. № ____</t>
  </si>
  <si>
    <t xml:space="preserve">                          (підпис)</t>
  </si>
  <si>
    <t>М. П.</t>
  </si>
  <si>
    <t>В.о. начальника відділу транспорту і зв”язку міської ради</t>
  </si>
  <si>
    <t>_________________________М.М.Єрмаков</t>
  </si>
  <si>
    <t xml:space="preserve">        (підпис)</t>
  </si>
  <si>
    <t xml:space="preserve">від "____" _____________ 20    р. </t>
  </si>
  <si>
    <t>(дата)</t>
  </si>
  <si>
    <t>Коди</t>
  </si>
  <si>
    <t>Підприємство: Комунальне підприємство "Житомиртранспорт" Житомирської міської ради</t>
  </si>
  <si>
    <t xml:space="preserve">за ЄДРПОУ </t>
  </si>
  <si>
    <t>Організаційно-правова форма: комунальне підприємство</t>
  </si>
  <si>
    <t>за КОПФГ</t>
  </si>
  <si>
    <t>Територія: Житомир</t>
  </si>
  <si>
    <t>за КОАТУУ</t>
  </si>
  <si>
    <t>Орган державного управління: Житомирська міська рада</t>
  </si>
  <si>
    <t>за СПОДУ</t>
  </si>
  <si>
    <t xml:space="preserve">Галузь     </t>
  </si>
  <si>
    <t>за ЗКГНГ</t>
  </si>
  <si>
    <t>Вид економічної діяльності: Пасажирський наземний транспорт міського та приміського сполучення</t>
  </si>
  <si>
    <t xml:space="preserve">за  КВЕД  </t>
  </si>
  <si>
    <t>49.31</t>
  </si>
  <si>
    <t>Одиниця виміру, тис. гривень</t>
  </si>
  <si>
    <t>Стандарти звітності П(с)БОУ</t>
  </si>
  <si>
    <t>Форма власності: комунальна</t>
  </si>
  <si>
    <t>Стандарти звітності МСФЗ</t>
  </si>
  <si>
    <t xml:space="preserve">Середньооблікова кількість штатних працівників: </t>
  </si>
  <si>
    <t>Місцезнаходження: 10014, м. Житомир, майд. С.П. Корольова, 4\2</t>
  </si>
  <si>
    <t>Телефон: (0412) 43-01-31</t>
  </si>
  <si>
    <t>Прізвище та ініціали керівника:В.о.директора Іван МИКИТЮК</t>
  </si>
  <si>
    <t>Основні фінансові показники</t>
  </si>
  <si>
    <t>Найменування показника</t>
  </si>
  <si>
    <t xml:space="preserve">Код рядка </t>
  </si>
  <si>
    <t>Факт минулого року</t>
  </si>
  <si>
    <t>Фінансовий план поточного року</t>
  </si>
  <si>
    <t>Прогноз на поточний рік</t>
  </si>
  <si>
    <t>Плановий рік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</si>
  <si>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</si>
  <si>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</si>
  <si>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</si>
  <si>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</si>
  <si>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</t>
  </si>
  <si>
    <t>Витрати на збут</t>
  </si>
  <si>
    <t>Інші операційні доходи/витрати</t>
  </si>
  <si>
    <t>Фінансовий результат від операційної діяльності</t>
  </si>
  <si>
    <t>Доходи/витрати від фінансової та інвестиційної діяльності</t>
  </si>
  <si>
    <t>Інші доходи/витрати</t>
  </si>
  <si>
    <t>Фінансовий результат до оподаткування</t>
  </si>
  <si>
    <t>Витрати (дохід) з податку на прибуток</t>
  </si>
  <si>
    <t>Чистий  фінансовий результат</t>
  </si>
  <si>
    <t>Коефіцієнт рентабельності діяльності</t>
  </si>
  <si>
    <t>IІ. Розрахунки з бюджетом</t>
  </si>
  <si>
    <t xml:space="preserve">Дивіденди/відрахування частини чистого прибутку </t>
  </si>
  <si>
    <t>Податок на прибуток підприємств</t>
  </si>
  <si>
    <t>Податок на додану вартість нарахований/до відшкодування (з мінусом)</t>
  </si>
  <si>
    <t>2120 / 2130</t>
  </si>
  <si>
    <t>Інші податки, збори, обов'язкові платежі до державного та місцевих бюджетів</t>
  </si>
  <si>
    <t xml:space="preserve">Єдиний внесок на загальнообов'язкове державне соціальне страхування                              </t>
  </si>
  <si>
    <t>Усього виплат на користь держави</t>
  </si>
  <si>
    <t>ІІІ. Рух грошових коштів</t>
  </si>
  <si>
    <t>Грошові кошти на початок періоду</t>
  </si>
  <si>
    <t>Грошові кошти на кінець періоду</t>
  </si>
  <si>
    <t>Чистий грошовий потік</t>
  </si>
  <si>
    <t>IV. Капітальні інвестиції</t>
  </si>
  <si>
    <t>Капітальні інвестиції</t>
  </si>
  <si>
    <t>V. Коефіцієнтний аналіз</t>
  </si>
  <si>
    <t>Коефіцієнт рентабельності активів</t>
  </si>
  <si>
    <t>Коефіцієнт фінансової стійкості</t>
  </si>
  <si>
    <t>Показник фондовіддачі</t>
  </si>
  <si>
    <t>VI. Звіт про фінансовий стан</t>
  </si>
  <si>
    <t>Необоротні активи</t>
  </si>
  <si>
    <t>Оборотні активи</t>
  </si>
  <si>
    <t>у тому числі грошові кошти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</si>
  <si>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</si>
  <si>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</si>
  <si>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</t>
  </si>
  <si>
    <t>Усього зобов'язання і забезпечення</t>
  </si>
  <si>
    <t>у тому числі державні гранти і субсидії</t>
  </si>
  <si>
    <t>у тому числі фінансові запозичення</t>
  </si>
  <si>
    <t>Власний капітал</t>
  </si>
  <si>
    <t>В.о.директора</t>
  </si>
  <si>
    <t>Іван МИКИТЮК</t>
  </si>
  <si>
    <t xml:space="preserve">       Формування фінансових результатів</t>
  </si>
  <si>
    <t>Плановий рік (усього)</t>
  </si>
  <si>
    <t xml:space="preserve">У тому числі за кварталами </t>
  </si>
  <si>
    <t>Пояснення та обґрунтування до запланованого рівня доходів/витрат</t>
  </si>
  <si>
    <t>І</t>
  </si>
  <si>
    <t>ІІ</t>
  </si>
  <si>
    <t>ІІІ</t>
  </si>
  <si>
    <t>ІV</t>
  </si>
  <si>
    <t>2</t>
  </si>
  <si>
    <t>Доходи і витрати (деталізація)</t>
  </si>
  <si>
    <t>Чистий дохід від реалізації продукції (товарів, робіт, послуг) (розшифрувати)</t>
  </si>
  <si>
    <t>1000</t>
  </si>
  <si>
    <t>Надання послуг з обслуговування елементів АСОП*, загальна сума доходів на рік , грн, без пдв</t>
  </si>
  <si>
    <t>валовий оборот тту, з пдв, грн</t>
  </si>
  <si>
    <t>валовий оборот тту, без пдв, грн</t>
  </si>
  <si>
    <t>валовий оборот пп, з пдв, грн</t>
  </si>
  <si>
    <t>валовий оборот пп, без пдв, грн</t>
  </si>
  <si>
    <t>загальний валовий оборот грн, без пдв</t>
  </si>
  <si>
    <t>Надання послуг з обслуговування елементів АСООП*ПП, у т.ч. диспетчеризації</t>
  </si>
  <si>
    <t>1000/1</t>
  </si>
  <si>
    <t>Надання послуг з обслуговування елементів АСООП*ТТУ</t>
  </si>
  <si>
    <t>1000/2</t>
  </si>
  <si>
    <t xml:space="preserve">Організація поповнення ЕК** та ТК*** ТТУ (комісійна винагорода) </t>
  </si>
  <si>
    <t>1000/3</t>
  </si>
  <si>
    <t>Організація поповнення ЕК** та ТК***, загальна сума комісій на рік (5%), грн, без пдв</t>
  </si>
  <si>
    <t>валовий оборот тту, з пдв</t>
  </si>
  <si>
    <t>валовий оборот тту, без пдв</t>
  </si>
  <si>
    <t>валовий оборот ПП, з пдв</t>
  </si>
  <si>
    <t>валовий оборот ПП, без пдв</t>
  </si>
  <si>
    <t>Організація поповнення ЕК** та ТК*** ПП (комісійна винагорода)</t>
  </si>
  <si>
    <t>1000/4</t>
  </si>
  <si>
    <t>Організація продажу ТК***</t>
  </si>
  <si>
    <t>1000/5</t>
  </si>
  <si>
    <t>Надання послуг з диспетчеризації (посередницькі послуги) ТТУ</t>
  </si>
  <si>
    <t>1000/6</t>
  </si>
  <si>
    <r>
      <rPr>
        <b/>
        <sz val="11"/>
        <rFont val="Times New Roman"/>
        <family val="1"/>
        <charset val="204"/>
      </rPr>
      <t>160</t>
    </r>
    <r>
      <rPr>
        <sz val="11"/>
        <rFont val="Times New Roman"/>
        <family val="1"/>
        <charset val="204"/>
      </rPr>
      <t xml:space="preserve"> трекерів (диспетчеризація)</t>
    </r>
  </si>
  <si>
    <t>Відновлення карток</t>
  </si>
  <si>
    <t>1000/7</t>
  </si>
  <si>
    <t>Оренда валідаторів</t>
  </si>
  <si>
    <t>1000/8</t>
  </si>
  <si>
    <t>Собівартість реалізованої продукції (товарів, робіт, послуг) (розшифрувати), у т.ч.:</t>
  </si>
  <si>
    <t>1010</t>
  </si>
  <si>
    <t xml:space="preserve">   витрати на сировину та основні матеріали</t>
  </si>
  <si>
    <t>1011</t>
  </si>
  <si>
    <t xml:space="preserve">   витрати на електроенергію</t>
  </si>
  <si>
    <t>1012</t>
  </si>
  <si>
    <t xml:space="preserve">   витрати на оплату праці, в т.ч. резерв відпусток</t>
  </si>
  <si>
    <t>1013</t>
  </si>
  <si>
    <t xml:space="preserve">   відрахування на соціальні заходи, в т.ч. нарахування на резерв відпусток</t>
  </si>
  <si>
    <t>1014</t>
  </si>
  <si>
    <t xml:space="preserve">   амортизація основних засобів і нематеріальних активів, валідатори, табло)</t>
  </si>
  <si>
    <t>1016</t>
  </si>
  <si>
    <t xml:space="preserve">  інші витрати (розшифрувати):</t>
  </si>
  <si>
    <t>1018</t>
  </si>
  <si>
    <t>послуга з визначення місцезнаходження об'єктів та обробки даних (диспетчеризація)</t>
  </si>
  <si>
    <t>1018/1</t>
  </si>
  <si>
    <t>винагорода за проведення поповнення ЕК** та ТК***ТТУ</t>
  </si>
  <si>
    <t>1018/2</t>
  </si>
  <si>
    <t>винагорода за проведення поповнення ЕК** та ТК***ПП</t>
  </si>
  <si>
    <t>1018/3</t>
  </si>
  <si>
    <t>послуги хостінгу</t>
  </si>
  <si>
    <t>1018/4</t>
  </si>
  <si>
    <t>проїзні</t>
  </si>
  <si>
    <t>1018/5</t>
  </si>
  <si>
    <t>витрати на зв’язок (інтернет для передачі даних)</t>
  </si>
  <si>
    <t>1018/6</t>
  </si>
  <si>
    <t xml:space="preserve">витрати на зв'язок </t>
  </si>
  <si>
    <t>1018/7</t>
  </si>
  <si>
    <t>послуги підтримки програмного забезпечення АСООП</t>
  </si>
  <si>
    <t>1018/8</t>
  </si>
  <si>
    <t>поштові витрати</t>
  </si>
  <si>
    <t>1018/9</t>
  </si>
  <si>
    <t>витрати на службові відрядження</t>
  </si>
  <si>
    <t>1018/10</t>
  </si>
  <si>
    <t>витрати на купівлю МНМА, МШП та інше</t>
  </si>
  <si>
    <t>1018/11</t>
  </si>
  <si>
    <t>обслуговування офісної техніки</t>
  </si>
  <si>
    <t>1018/12</t>
  </si>
  <si>
    <t>виконання вимог з охорони праці</t>
  </si>
  <si>
    <t>1018/13</t>
  </si>
  <si>
    <t>відповідальне зберігання майна</t>
  </si>
  <si>
    <t>1018/14</t>
  </si>
  <si>
    <t>ремонт електронних табло _Дозор</t>
  </si>
  <si>
    <t>1018/15</t>
  </si>
  <si>
    <t>Табло відремонтовані у 2023 році, заплановано ремонт  на випадок вандалізму, або іншої надзвичайної ситуації</t>
  </si>
  <si>
    <t>нарахування резерву відпусток</t>
  </si>
  <si>
    <t>1018/16</t>
  </si>
  <si>
    <t>нарахування ЄСВ</t>
  </si>
  <si>
    <t>1018/17</t>
  </si>
  <si>
    <t>обробка даних (електронне табло_Дозор)</t>
  </si>
  <si>
    <t>1018/18</t>
  </si>
  <si>
    <t>ремонт та обслуговування стендів графіків руху</t>
  </si>
  <si>
    <t>1018/19</t>
  </si>
  <si>
    <t>1018/20</t>
  </si>
  <si>
    <t xml:space="preserve">валідатори, безоплатно передані ТТУ у червні 2023 (9 шт.) та приведення у відповідність передачі ОЗ (валідаторів) згідно з рішенням Вик.комітету ЖМР № 446 від 05.05.2022 - було заплановано на 3 квартал 555,5 </t>
  </si>
  <si>
    <t>комунальні послуги</t>
  </si>
  <si>
    <t>1018/21</t>
  </si>
  <si>
    <t>Новий плановий показ.на 2024р.= 19,4% (1,194)</t>
  </si>
  <si>
    <t>інші (вихідна допомога)</t>
  </si>
  <si>
    <t>1018/22</t>
  </si>
  <si>
    <t>Валовий прибуток (збиток)</t>
  </si>
  <si>
    <t>1020</t>
  </si>
  <si>
    <t>Інші операційні доходи (розшифрувати), у тому числі:</t>
  </si>
  <si>
    <t>1030</t>
  </si>
  <si>
    <t>% по залишкам коштів</t>
  </si>
  <si>
    <t>1031</t>
  </si>
  <si>
    <t>перенесено в інші доходи</t>
  </si>
  <si>
    <t>Утримання служби контролю, у т.ч.</t>
  </si>
  <si>
    <t>1032</t>
  </si>
  <si>
    <t>Утримання служби контролю,здійс-ня диспечерезації,обслуго-ня інформаційних таблота графіків руху громадського транспорту</t>
  </si>
  <si>
    <t>1032/1</t>
  </si>
  <si>
    <t xml:space="preserve">Забезпечення робочого процесу </t>
  </si>
  <si>
    <t>Адміністративні витрати, у тому числі:</t>
  </si>
  <si>
    <t>1040</t>
  </si>
  <si>
    <t xml:space="preserve">   витрати на службові відрядження</t>
  </si>
  <si>
    <t>1041</t>
  </si>
  <si>
    <t xml:space="preserve">   витрати на зв’язок (телефонія)</t>
  </si>
  <si>
    <t>1042</t>
  </si>
  <si>
    <t>1043</t>
  </si>
  <si>
    <t>1044</t>
  </si>
  <si>
    <t xml:space="preserve"> амортизація основних засобів і нематеріальних активів загальногосподарського призначення</t>
  </si>
  <si>
    <t>1045</t>
  </si>
  <si>
    <t>витрати на супроводження закупівель</t>
  </si>
  <si>
    <t>1046</t>
  </si>
  <si>
    <t>розміщення рекламної продукції</t>
  </si>
  <si>
    <t>1047</t>
  </si>
  <si>
    <t xml:space="preserve">витрати на підвищення кваліфікації та перепідготовку кадрів </t>
  </si>
  <si>
    <t>1048</t>
  </si>
  <si>
    <t>витрати на поліпшення основних фондів</t>
  </si>
  <si>
    <t>1049</t>
  </si>
  <si>
    <t>інші адміністративні витрати (розшифрувати):</t>
  </si>
  <si>
    <t>1050</t>
  </si>
  <si>
    <t>1050/1</t>
  </si>
  <si>
    <t>1050/2</t>
  </si>
  <si>
    <t>послуги банку</t>
  </si>
  <si>
    <t>1050/3</t>
  </si>
  <si>
    <t>ремонт офісного  приміщення</t>
  </si>
  <si>
    <t>1050/4</t>
  </si>
  <si>
    <t>1050/5</t>
  </si>
  <si>
    <t>Програмне забезпечення (Медок, Кадроленд)</t>
  </si>
  <si>
    <t>1050/6</t>
  </si>
  <si>
    <t>1050/7</t>
  </si>
  <si>
    <t>витрати на електроенергію</t>
  </si>
  <si>
    <t>1050/8</t>
  </si>
  <si>
    <r>
      <rPr>
        <sz val="26"/>
        <rFont val="Times New Roman"/>
        <family val="1"/>
        <charset val="204"/>
      </rPr>
      <t>Інтернет для офісу, послуги зв</t>
    </r>
    <r>
      <rPr>
        <sz val="26"/>
        <rFont val="Calibri"/>
        <family val="2"/>
        <charset val="204"/>
      </rPr>
      <t>´</t>
    </r>
    <r>
      <rPr>
        <sz val="26"/>
        <rFont val="Times New Roman"/>
        <family val="1"/>
        <charset val="204"/>
      </rPr>
      <t>язку</t>
    </r>
  </si>
  <si>
    <t>1050/9</t>
  </si>
  <si>
    <t>1050/10</t>
  </si>
  <si>
    <t>1050/12</t>
  </si>
  <si>
    <t>1050/13</t>
  </si>
  <si>
    <t>витрати на супровід (БАФ, бух.новини)</t>
  </si>
  <si>
    <t>1050/14</t>
  </si>
  <si>
    <t>1050/17</t>
  </si>
  <si>
    <t>Витрати на збут, у тому числі:</t>
  </si>
  <si>
    <t>1060</t>
  </si>
  <si>
    <t>витрати на оплату праці, в т.ч. резерв відпусток</t>
  </si>
  <si>
    <t>1061</t>
  </si>
  <si>
    <t>відрахування на соціальні заходи, в т.ч. на резерв відпусток</t>
  </si>
  <si>
    <t>1062</t>
  </si>
  <si>
    <t>інші витрати на збут (розшифрувати):</t>
  </si>
  <si>
    <t>1070</t>
  </si>
  <si>
    <t>популяризація е квитка, транспортної картки тощо</t>
  </si>
  <si>
    <t>1071</t>
  </si>
  <si>
    <t>Інші операційні витрати усього, у тому числі:</t>
  </si>
  <si>
    <t>1080</t>
  </si>
  <si>
    <t>витрати на матеріальну допомогу</t>
  </si>
  <si>
    <t>1081</t>
  </si>
  <si>
    <t>відрахування до резерву сумнівних боргів</t>
  </si>
  <si>
    <t>1082</t>
  </si>
  <si>
    <t>інші операційні витрати (розшифрувати)</t>
  </si>
  <si>
    <t>1085</t>
  </si>
  <si>
    <t>1085/1</t>
  </si>
  <si>
    <t>Утримання служби контролю у громадському транспорті, у т.ч.:</t>
  </si>
  <si>
    <t>- заробітна плата,в т.ч.резерв відпусток</t>
  </si>
  <si>
    <t>- нарахування ЕСВ,в т.ч. на резерв відпусток</t>
  </si>
  <si>
    <t>1085/2/1</t>
  </si>
  <si>
    <t>вартість карт для автоматизованої системи оплати за проїзд (ВПО)</t>
  </si>
  <si>
    <t>Використання товарів і послуг в т.ч.</t>
  </si>
  <si>
    <t>Послуги звязку, інтернет</t>
  </si>
  <si>
    <t>Обслуговування офісної техніки</t>
  </si>
  <si>
    <t>утримання і ремонт стендів 36400</t>
  </si>
  <si>
    <t>Послуги банку</t>
  </si>
  <si>
    <t>послуги , комісія банку</t>
  </si>
  <si>
    <t>послуги відправки почти</t>
  </si>
  <si>
    <t>амортизація основних засобів і нематеріальних активів (стенди, електронні табло)</t>
  </si>
  <si>
    <t>Інші операційні витрати (ЄСВ на лікарняні,МД не оподаткована)</t>
  </si>
  <si>
    <t>1100</t>
  </si>
  <si>
    <t>Дохід від участі в капіталі (розшифрувати)</t>
  </si>
  <si>
    <t>1110</t>
  </si>
  <si>
    <t>Інші фінансові доходи (розшифрувати)</t>
  </si>
  <si>
    <t>1120</t>
  </si>
  <si>
    <t>відсотки за депозитом</t>
  </si>
  <si>
    <t>1120/1</t>
  </si>
  <si>
    <t>Втрати від участі в капіталі (розшифрувати)</t>
  </si>
  <si>
    <t>1130</t>
  </si>
  <si>
    <t>(    )</t>
  </si>
  <si>
    <t>Фінансові витрати (розшифрувати)</t>
  </si>
  <si>
    <t>1140</t>
  </si>
  <si>
    <t>Інші доходи (розшифрувати), у тому числі:</t>
  </si>
  <si>
    <t>1150</t>
  </si>
  <si>
    <t>безоплатно отримане майно</t>
  </si>
  <si>
    <t>1151</t>
  </si>
  <si>
    <t>1153</t>
  </si>
  <si>
    <t>Інші витрати (розшифрувати), у тому числі:</t>
  </si>
  <si>
    <t>1160</t>
  </si>
  <si>
    <t>викрадені металеві стенди</t>
  </si>
  <si>
    <t>1161</t>
  </si>
  <si>
    <t>1162</t>
  </si>
  <si>
    <t>безоплатно передане майно (валідатори) ТТУ</t>
  </si>
  <si>
    <t>1165</t>
  </si>
  <si>
    <t>амортизація основних засобів, отриманих безкоштовно ((валідатори, АСОП, мет.стенди, електричні табло))</t>
  </si>
  <si>
    <t>1164</t>
  </si>
  <si>
    <t>1170</t>
  </si>
  <si>
    <t>1180</t>
  </si>
  <si>
    <t>видалити податок на прибуток</t>
  </si>
  <si>
    <t xml:space="preserve">Прибуток (збиток) від  припиненої діяльності після оподаткування </t>
  </si>
  <si>
    <t>1190</t>
  </si>
  <si>
    <t>Чистий  фінансовий результат, у тому числі:</t>
  </si>
  <si>
    <t>1200</t>
  </si>
  <si>
    <t xml:space="preserve">прибуток </t>
  </si>
  <si>
    <t>1201</t>
  </si>
  <si>
    <t>збиток</t>
  </si>
  <si>
    <t>1202</t>
  </si>
  <si>
    <t>Неконтрольована частка</t>
  </si>
  <si>
    <t>1203</t>
  </si>
  <si>
    <t>Доходи і витрати (узагальнені показники)</t>
  </si>
  <si>
    <t>Інші операційні доходи/витрати
(рядок 1030 - рядок 1080)</t>
  </si>
  <si>
    <t>1300</t>
  </si>
  <si>
    <t>Доходи/витрати від фінансової та інвестиційної діяльності (рядок 1110 + рядок 1120 - рядок 1130 - рядок 1140)</t>
  </si>
  <si>
    <t>1310</t>
  </si>
  <si>
    <t>Інші доходи/витрати
(рядок 1150 - рядок 1160)</t>
  </si>
  <si>
    <t>1320</t>
  </si>
  <si>
    <t>Усього доходів</t>
  </si>
  <si>
    <t>1330</t>
  </si>
  <si>
    <t>Усього витрат</t>
  </si>
  <si>
    <t>1340</t>
  </si>
  <si>
    <t>Елементи операційних витрат</t>
  </si>
  <si>
    <t>Матеріальні витрати, у тому числі:</t>
  </si>
  <si>
    <t>1400</t>
  </si>
  <si>
    <t>витрати на сировину та основні матеріали</t>
  </si>
  <si>
    <t>1401</t>
  </si>
  <si>
    <t>витрати на паливо та енергію</t>
  </si>
  <si>
    <t>1402</t>
  </si>
  <si>
    <t>Витрати на оплату праці</t>
  </si>
  <si>
    <t>1410</t>
  </si>
  <si>
    <t>Відрахування на соціальні заходи</t>
  </si>
  <si>
    <t>1420</t>
  </si>
  <si>
    <t>Амортизація</t>
  </si>
  <si>
    <t>1430</t>
  </si>
  <si>
    <t>Інші операційні витрати</t>
  </si>
  <si>
    <t>1440</t>
  </si>
  <si>
    <t>Усього</t>
  </si>
  <si>
    <t>1550</t>
  </si>
  <si>
    <t>* - Автоматизована система оплати проїзду</t>
  </si>
  <si>
    <t>**- Електронний квиток</t>
  </si>
  <si>
    <t xml:space="preserve"> </t>
  </si>
  <si>
    <t>***- Транспортна карта</t>
  </si>
  <si>
    <t xml:space="preserve">І  </t>
  </si>
  <si>
    <t xml:space="preserve">ІІ  </t>
  </si>
  <si>
    <t xml:space="preserve">ІІІ  </t>
  </si>
  <si>
    <t xml:space="preserve">ІV 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</si>
  <si>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</si>
  <si>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</si>
  <si>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2000</t>
  </si>
  <si>
    <t>Відрахування частини чистого прибутку до міського бюджету</t>
  </si>
  <si>
    <t>2010</t>
  </si>
  <si>
    <t>Перенесено з додаткового капіталу</t>
  </si>
  <si>
    <t>2020</t>
  </si>
  <si>
    <t>Розвиток виробництва</t>
  </si>
  <si>
    <t>2030</t>
  </si>
  <si>
    <t>у тому числі за основними видами діяльності за КВЕД</t>
  </si>
  <si>
    <t>2031</t>
  </si>
  <si>
    <t>Резервний фонд</t>
  </si>
  <si>
    <t>2040</t>
  </si>
  <si>
    <t>Інші фонди (розшифрувати)</t>
  </si>
  <si>
    <t>2050</t>
  </si>
  <si>
    <t>Інші цілі (розшифрувати)</t>
  </si>
  <si>
    <t>2060</t>
  </si>
  <si>
    <t xml:space="preserve"> Коригування доходів 2017 р. (компенс. ЖМЦЗ)</t>
  </si>
  <si>
    <t>2060/1</t>
  </si>
  <si>
    <t>-</t>
  </si>
  <si>
    <t>Коригування витрат 2019р. (резерв відпусток)</t>
  </si>
  <si>
    <t>2060/2</t>
  </si>
  <si>
    <t>Залишок нерозподіленого прибутку (непокритого збитку) на кінець звітного періоду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</si>
  <si>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</si>
  <si>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Відрахування частини чистого прибутку</t>
  </si>
  <si>
    <t>2100</t>
  </si>
  <si>
    <t>2110</t>
  </si>
  <si>
    <t>Податок на додану вартість, нарахований до сплати до державного бюджету за підсумками звітного періоду</t>
  </si>
  <si>
    <t>2120</t>
  </si>
  <si>
    <t>Податок на додану вартість, що підлягає відшкодуванню з державного бюджету за підсумками звітного періоду</t>
  </si>
  <si>
    <t>2130</t>
  </si>
  <si>
    <t>Інші поточні податки, збори, обов'язкові платежі до державного та місцевих бюджетів, у тому числі:</t>
  </si>
  <si>
    <t>2140</t>
  </si>
  <si>
    <t>акцизний податок</t>
  </si>
  <si>
    <t>2141</t>
  </si>
  <si>
    <t>рентна плата за транспортування</t>
  </si>
  <si>
    <t>2142</t>
  </si>
  <si>
    <t>плата за користування надрами</t>
  </si>
  <si>
    <t>2143</t>
  </si>
  <si>
    <t>податок на доходи фізичних осіб</t>
  </si>
  <si>
    <t>2144</t>
  </si>
  <si>
    <t>фонд зп*0,18 пдф</t>
  </si>
  <si>
    <t>погашення податкового боргу, у тому числі:</t>
  </si>
  <si>
    <t>2145</t>
  </si>
  <si>
    <t>місцеві податки та збори (розшифрувати)</t>
  </si>
  <si>
    <t>2146</t>
  </si>
  <si>
    <t>інші платежі, у тому числі:</t>
  </si>
  <si>
    <t>2147</t>
  </si>
  <si>
    <t>Військовий збір</t>
  </si>
  <si>
    <t>2147/1</t>
  </si>
  <si>
    <t>фонд зп*0,015 війск.збір</t>
  </si>
  <si>
    <t>2150</t>
  </si>
  <si>
    <t>2200</t>
  </si>
  <si>
    <t>Код
рядка</t>
  </si>
  <si>
    <t>Факт
минулого
року</t>
  </si>
  <si>
    <t>Фінансовий
план
поточного
року</t>
  </si>
  <si>
    <t>в тому числі по кварталам</t>
  </si>
  <si>
    <t>І. Рух коштів у результаті операційної діяльності</t>
  </si>
  <si>
    <t>Надходження грошових коштів від операційної діяльності</t>
  </si>
  <si>
    <t>3000</t>
  </si>
  <si>
    <t>Виручка від реалізації товарів робіт, послуг</t>
  </si>
  <si>
    <t>3010</t>
  </si>
  <si>
    <t>3020</t>
  </si>
  <si>
    <t>Придбання пластикових карт для автоматизованої системи оплати за проїзд (для ВПО)</t>
  </si>
  <si>
    <t>3020/1</t>
  </si>
  <si>
    <t>3020/3</t>
  </si>
  <si>
    <t>Отримання короткострокових кредитів</t>
  </si>
  <si>
    <t>3030</t>
  </si>
  <si>
    <t>Аванси одержані (розшифрувати)</t>
  </si>
  <si>
    <t>3040</t>
  </si>
  <si>
    <t>Інші надходження в т.ч.:</t>
  </si>
  <si>
    <t>3050</t>
  </si>
  <si>
    <t xml:space="preserve">Інші </t>
  </si>
  <si>
    <t>3050/1</t>
  </si>
  <si>
    <t>3050/3</t>
  </si>
  <si>
    <t>Видатки грошових коштів операційної діяльності</t>
  </si>
  <si>
    <t>3060</t>
  </si>
  <si>
    <t>Розрахунки за товари, роботи та послуги</t>
  </si>
  <si>
    <t>3070</t>
  </si>
  <si>
    <t>Розрахунки з оплати праці</t>
  </si>
  <si>
    <t>3080</t>
  </si>
  <si>
    <t>Платежі до бюджету (розшифрувати)</t>
  </si>
  <si>
    <t>3090</t>
  </si>
  <si>
    <t>ПДФО</t>
  </si>
  <si>
    <t>3090/1</t>
  </si>
  <si>
    <t>3090/2</t>
  </si>
  <si>
    <t>3090/3</t>
  </si>
  <si>
    <t>Податок на прибуток</t>
  </si>
  <si>
    <t>3090/4</t>
  </si>
  <si>
    <t>видалити</t>
  </si>
  <si>
    <t>Штрафи пасажирів за безквитковий проїзд</t>
  </si>
  <si>
    <t>3090/5</t>
  </si>
  <si>
    <t>3090/6</t>
  </si>
  <si>
    <t>Інші витрати (розшифрувати):</t>
  </si>
  <si>
    <t>3100</t>
  </si>
  <si>
    <t>поворотна фінансова допомога, інші витрати</t>
  </si>
  <si>
    <t>3100/1</t>
  </si>
  <si>
    <t>Чистий рух грошових коштів операційної діяльності</t>
  </si>
  <si>
    <t>3120</t>
  </si>
  <si>
    <t>ІІ. Рух коштів у результаті інвестиційної діяльності</t>
  </si>
  <si>
    <t>Надходження грошових коштів від інвестиційної діяльності</t>
  </si>
  <si>
    <t>3200</t>
  </si>
  <si>
    <t>Виручка від реалізації основних фондів</t>
  </si>
  <si>
    <t>3210</t>
  </si>
  <si>
    <t>Виручка від реалізації нематеріальних активів</t>
  </si>
  <si>
    <t>3220</t>
  </si>
  <si>
    <t>Виручка від реалізації основних фондів капітального будівництва</t>
  </si>
  <si>
    <t>3230</t>
  </si>
  <si>
    <t>Надходження від продажу акцій та облігацій</t>
  </si>
  <si>
    <t>3240</t>
  </si>
  <si>
    <t>Надходження від отриманих:</t>
  </si>
  <si>
    <t>3250</t>
  </si>
  <si>
    <t xml:space="preserve"> відсотків </t>
  </si>
  <si>
    <t>3250/1</t>
  </si>
  <si>
    <t xml:space="preserve"> дивідендів</t>
  </si>
  <si>
    <t>3250/2</t>
  </si>
  <si>
    <t>Інші надходження (розшифрувати) в тому числі:</t>
  </si>
  <si>
    <t>3260</t>
  </si>
  <si>
    <t>внески до статутного капіталу</t>
  </si>
  <si>
    <t>3260/1</t>
  </si>
  <si>
    <t>Видатки грошових коштів інвестиційної діяльності</t>
  </si>
  <si>
    <t>3270</t>
  </si>
  <si>
    <t>Придбання (створення) основних засобів, в тому числі за рахунок внесків до статутного капіталу:</t>
  </si>
  <si>
    <t>3280</t>
  </si>
  <si>
    <t xml:space="preserve">Капітальне будівництво, в тому числі за рахунок внесків до статутного капіталу (розшифрувати)  </t>
  </si>
  <si>
    <t>3290</t>
  </si>
  <si>
    <t>Придбання (створення) нематеріальних активів (сайт) за рахунок внесків до статутного капіталу</t>
  </si>
  <si>
    <t>3300</t>
  </si>
  <si>
    <t xml:space="preserve">Придбання акцій та облігацій  </t>
  </si>
  <si>
    <t>3310</t>
  </si>
  <si>
    <t>Інші витрати (розшифрувати) в тому числі</t>
  </si>
  <si>
    <t>3320</t>
  </si>
  <si>
    <t>внески до статутного капіталу (розшифрувати)</t>
  </si>
  <si>
    <t>3320/1</t>
  </si>
  <si>
    <t xml:space="preserve">інші витрати (розшифрувати) </t>
  </si>
  <si>
    <t>3320/2</t>
  </si>
  <si>
    <t>Чистий рух грошових коштів інвестиційної діяльності</t>
  </si>
  <si>
    <t>3330</t>
  </si>
  <si>
    <t>ІІІ. Рух коштів у результаті фінансової діяльності</t>
  </si>
  <si>
    <t>Надходження грошових коштів від фінансової діяльності</t>
  </si>
  <si>
    <t>3400</t>
  </si>
  <si>
    <t>Власного капіталу</t>
  </si>
  <si>
    <t>3410</t>
  </si>
  <si>
    <t>Отримання коштів  за довгостроковими зобов'язаннями, у тому числі:</t>
  </si>
  <si>
    <t>3420</t>
  </si>
  <si>
    <t>кредити</t>
  </si>
  <si>
    <t>3420/1</t>
  </si>
  <si>
    <t xml:space="preserve">позики </t>
  </si>
  <si>
    <t>3420/2</t>
  </si>
  <si>
    <t>облігації</t>
  </si>
  <si>
    <t>3420/3</t>
  </si>
  <si>
    <t>Отримання коштів за короткостроковими зобов'язаннями, у тому числі:</t>
  </si>
  <si>
    <t>3430</t>
  </si>
  <si>
    <t>3430/1</t>
  </si>
  <si>
    <t>3430/2</t>
  </si>
  <si>
    <t>3430/3</t>
  </si>
  <si>
    <t>Цільове фінансування  (розшифрувати)</t>
  </si>
  <si>
    <t>3440</t>
  </si>
  <si>
    <t xml:space="preserve">Інші надходження (організація поповнення ЕК та ТК) </t>
  </si>
  <si>
    <t>3450</t>
  </si>
  <si>
    <t>Видатки грошових коштів фінансової діяльності</t>
  </si>
  <si>
    <t>3460</t>
  </si>
  <si>
    <t>Сплата дивідендів на комунальну частку/відрахувань частини чистого прибутку</t>
  </si>
  <si>
    <t>3470</t>
  </si>
  <si>
    <t>Повернення коштів  за довгостроковими зобов'язаннями, у тому числі:</t>
  </si>
  <si>
    <t>3480</t>
  </si>
  <si>
    <t>3480/1</t>
  </si>
  <si>
    <t>3480/2</t>
  </si>
  <si>
    <t>3480/3</t>
  </si>
  <si>
    <t>Повернення коштів за короткостроковими зобов'язаннями, у тому числі:</t>
  </si>
  <si>
    <t>3490</t>
  </si>
  <si>
    <t>3490/1</t>
  </si>
  <si>
    <t>3490/2</t>
  </si>
  <si>
    <t>3490/3</t>
  </si>
  <si>
    <t>Інші витрати (перерах. коштів комісіонерів)</t>
  </si>
  <si>
    <t>3500</t>
  </si>
  <si>
    <t>Чистий рух коштів від фінансової діяльності </t>
  </si>
  <si>
    <t>3510</t>
  </si>
  <si>
    <t>Грошові кошти:</t>
  </si>
  <si>
    <t>3510/1</t>
  </si>
  <si>
    <t>на початок періоду</t>
  </si>
  <si>
    <t>3600</t>
  </si>
  <si>
    <t xml:space="preserve">Вплив зміни валютних курсів на залишок коштів </t>
  </si>
  <si>
    <t>3610</t>
  </si>
  <si>
    <t>на кінець періоду</t>
  </si>
  <si>
    <t>3620</t>
  </si>
  <si>
    <t>3630</t>
  </si>
  <si>
    <t xml:space="preserve">IV. Капітальні інвестиції </t>
  </si>
  <si>
    <t>Капітальні інвестиції, усього,
у тому числі:</t>
  </si>
  <si>
    <t>капітальне будівництво (розшифрувати)</t>
  </si>
  <si>
    <t>4010</t>
  </si>
  <si>
    <t>придбання (виготовлення) основних засобів (розшифрувати)</t>
  </si>
  <si>
    <t>придбання комп.техніки (комп'ютер)</t>
  </si>
  <si>
    <t>4020/1</t>
  </si>
  <si>
    <t>придбання (виготовлення) інших необоротних матеріальних активів  (розшифрувати)</t>
  </si>
  <si>
    <t xml:space="preserve"> - стіл офісний, крісло офісне, тумба для МФУ, шафа для документів, для одягу)</t>
  </si>
  <si>
    <t>4030/1</t>
  </si>
  <si>
    <t xml:space="preserve">придбання (створення) нематеріальних активів </t>
  </si>
  <si>
    <t>модернізація, модифікація (добудова, дообладнання, реконструкція) основних засобів  (розшифрувати)</t>
  </si>
  <si>
    <t xml:space="preserve">Примітка: При заповненні показників таблиці окремо зазначити витрати на фінансування заходів з енергозбереження. </t>
  </si>
  <si>
    <t>Код рядка</t>
  </si>
  <si>
    <t>Оптимальне значення</t>
  </si>
  <si>
    <t>Планові показники</t>
  </si>
  <si>
    <t>Примітки</t>
  </si>
  <si>
    <t>Коефіцієнти рентабельності та прибутковості</t>
  </si>
  <si>
    <t>Коефіцієнт рентабельності активів
(чистий фінансовий результат, рядок 1200 / вартість активів, рядок 6030)</t>
  </si>
  <si>
    <t>Збільшення</t>
  </si>
  <si>
    <t>Характеризує ефективність використання активів підприємства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</si>
  <si>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</si>
  <si>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&gt; 0</t>
  </si>
  <si>
    <t>Характеризує ефективність господарської діяльності підприємства</t>
  </si>
  <si>
    <t>Коефіцієнти фінансової стійкості та ліквідності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</si>
  <si>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</si>
  <si>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&gt; 1</t>
  </si>
  <si>
    <t>Характеризує співвідношення власних та позикових коштів і залежність підприємства від зовнішніх фінансових джерел</t>
  </si>
  <si>
    <t>Коефіцієнт поточної ліквідності (покриття)
(оборотні активи, рядок 6010 / поточні зобов'язання, рядок 6050)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</si>
  <si>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</si>
  <si>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Фондовіддача (вартість виробленої продукції/балансова вартість основних виробничих фондів)відношення вартості виробленої продукції до первісної середньорічної вартості основних виробничих фондів</t>
  </si>
  <si>
    <t>Характеризує ефективність використання основних засобів</t>
  </si>
  <si>
    <t>V. Розрахунок посадових окладів та розміри доплат і надбавок</t>
  </si>
  <si>
    <t>Коефіцієнт  для визначення тарифної ставки робітника І розряду становить 1,6</t>
  </si>
  <si>
    <t>№ п/п</t>
  </si>
  <si>
    <t>Назва посади</t>
  </si>
  <si>
    <t>КОД КП</t>
  </si>
  <si>
    <t>Коефіцієнти</t>
  </si>
  <si>
    <t>Доплати та надбавки (%)</t>
  </si>
  <si>
    <t xml:space="preserve"> за видами робіт та окремими професіями до тарифної ставки робітника І розряду</t>
  </si>
  <si>
    <t>співвідношень розмірів мінімальних посадових окладів фахівців до мінімальної тарифної ставки робітника І розряду</t>
  </si>
  <si>
    <t>Разом</t>
  </si>
  <si>
    <t>в тому числі</t>
  </si>
  <si>
    <t xml:space="preserve">високі досягнення у праці </t>
  </si>
  <si>
    <t>за розширення зони обслуговування, збільшення робіт</t>
  </si>
  <si>
    <t xml:space="preserve">доплати за роботу у вечірній та нічний час </t>
  </si>
  <si>
    <t>директор</t>
  </si>
  <si>
    <t>1210.1</t>
  </si>
  <si>
    <t>головний диспетчер</t>
  </si>
  <si>
    <t>1226.1</t>
  </si>
  <si>
    <t xml:space="preserve">інженер-електронік з ремонту та обслуговування устаткування інформаційних систем </t>
  </si>
  <si>
    <t>2144.2</t>
  </si>
  <si>
    <t>начальник служби контролю громадського транспорту</t>
  </si>
  <si>
    <t>1226.2</t>
  </si>
  <si>
    <t>старший контролер служби контролю громадського транспорту</t>
  </si>
  <si>
    <t>контролери пасажирського транспорту</t>
  </si>
  <si>
    <t>Додаток 1 до пояснювальної записки до фінансового плану</t>
  </si>
  <si>
    <t>Найменування 
посади</t>
  </si>
  <si>
    <t>Чисельність на плановий рік</t>
  </si>
  <si>
    <t>Річний фонд основної заробітної плати (відповідно до посадових окладів і часових тарифних ставок)</t>
  </si>
  <si>
    <t>Додаткова заробітна плата</t>
  </si>
  <si>
    <t>Інші виплати та компенсації, які не включаються до витрат з операційної діяльності</t>
  </si>
  <si>
    <t>Всього річний фонд заробітної плати, тис. грн.</t>
  </si>
  <si>
    <t>Доплати та надбавки у тому числі</t>
  </si>
  <si>
    <t>Премія*</t>
  </si>
  <si>
    <t>Індексація, тис грн.</t>
  </si>
  <si>
    <t>Матеріальна допомога</t>
  </si>
  <si>
    <t>всього по штатному розпису</t>
  </si>
  <si>
    <t xml:space="preserve">в т.ч. </t>
  </si>
  <si>
    <t>Всього</t>
  </si>
  <si>
    <t xml:space="preserve">за інтенсивність , високі досягнення у праці </t>
  </si>
  <si>
    <t>%</t>
  </si>
  <si>
    <t>Сума, тис. грн.</t>
  </si>
  <si>
    <t>вакантні посади</t>
  </si>
  <si>
    <t>сума</t>
  </si>
  <si>
    <t>ВСЬОГО</t>
  </si>
  <si>
    <t>1 **</t>
  </si>
  <si>
    <t>керівник</t>
  </si>
  <si>
    <t>ауп</t>
  </si>
  <si>
    <t>інші</t>
  </si>
  <si>
    <t>РАЗОМ</t>
  </si>
  <si>
    <t>головний бухгалтер</t>
  </si>
  <si>
    <t>собівартість</t>
  </si>
  <si>
    <t>адмін</t>
  </si>
  <si>
    <t>інші операційні</t>
  </si>
  <si>
    <t>інженер-електронік з ремонту та обслуговування устаткування інформаційних систем</t>
  </si>
  <si>
    <t>Начальник служби контролю</t>
  </si>
  <si>
    <t xml:space="preserve">старший контролер служби контролю громадського транспорту </t>
  </si>
  <si>
    <t>* відповідно до умов Колективного договору та Положення про преміювання премія нараховується за місяць</t>
  </si>
  <si>
    <t>** посада керівника — вакантна</t>
  </si>
  <si>
    <t xml:space="preserve">В.о.директора </t>
  </si>
  <si>
    <t>Інформація</t>
  </si>
  <si>
    <t>КП "Житомиртранспорт"</t>
  </si>
  <si>
    <t xml:space="preserve">      1. Дані про підприємство, персонал та фонд заробітної плати</t>
  </si>
  <si>
    <t xml:space="preserve">      Загальна інформація про підприємство (резюме)</t>
  </si>
  <si>
    <t>Плановий рік до плану поточного року, %</t>
  </si>
  <si>
    <t>Плановий рік до факту минулого року, %</t>
  </si>
  <si>
    <t>Середньооблікова чисельність осіб, у тому числі:</t>
  </si>
  <si>
    <t>Директор</t>
  </si>
  <si>
    <t>Адміністративно-управлінський персонал</t>
  </si>
  <si>
    <t>Інші працівники</t>
  </si>
  <si>
    <t>Фонд оплати праці, тис. гривень, у тому числі:</t>
  </si>
  <si>
    <t>Витрати на оплату праці, тис. гривень, у тому числі:</t>
  </si>
  <si>
    <t>адміністративно-управлінський персонал</t>
  </si>
  <si>
    <t>Середньомісячна заробітна плата одного працівника, гривень</t>
  </si>
  <si>
    <t>Середньомісячний дохід одного працівника, гривень</t>
  </si>
  <si>
    <t xml:space="preserve">      2. Інформація про бізнес підприємства (код рядка 1000 фінансового плану)</t>
  </si>
  <si>
    <t>Перелік доходів від реалізації товарів, робіт, послуг 
(за видами)</t>
  </si>
  <si>
    <t>Примітка</t>
  </si>
  <si>
    <t xml:space="preserve"> одиниця виміру</t>
  </si>
  <si>
    <t>кількість продукції/
наданих послуг</t>
  </si>
  <si>
    <t>ціна одиниці вартість продукції/
наданих послуг), гривень</t>
  </si>
  <si>
    <t xml:space="preserve">чистий дохід від реалізації продукції (товарів, робіт, послуг), 
тис. гривень        </t>
  </si>
  <si>
    <t>тис.грн</t>
  </si>
  <si>
    <t>шт.</t>
  </si>
  <si>
    <t>посл./шт</t>
  </si>
  <si>
    <t xml:space="preserve">      3. Діючі фінансові зобов'язання підприємства</t>
  </si>
  <si>
    <t>Найменування  банку</t>
  </si>
  <si>
    <t xml:space="preserve">Вид кредитного продукту та цільове призначення </t>
  </si>
  <si>
    <t xml:space="preserve">Сума, валюта за договорами </t>
  </si>
  <si>
    <t>Процентна ставка</t>
  </si>
  <si>
    <t>Дата видачі/погашення (графік)</t>
  </si>
  <si>
    <t>Заборгованість на останню дату</t>
  </si>
  <si>
    <t>Забезпечення</t>
  </si>
  <si>
    <t>х</t>
  </si>
  <si>
    <t xml:space="preserve">      4.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</si>
  <si>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</si>
  <si>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</si>
  <si>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План з повернення коштів</t>
  </si>
  <si>
    <t>Заборгованість за кредитами на кінець ______ року</t>
  </si>
  <si>
    <t xml:space="preserve">Довгострокові зобов'язання, усього </t>
  </si>
  <si>
    <t>у тому числі:</t>
  </si>
  <si>
    <t>Короткострокові зобов'язання, усього</t>
  </si>
  <si>
    <t xml:space="preserve">у тому числі: </t>
  </si>
  <si>
    <t>Інші фінансові зобов'язання, усього</t>
  </si>
  <si>
    <t>5. Витрати, пов'язані з використанням власних службових автомобілів (у складі адміністративних витрат, рядок 1041)</t>
  </si>
  <si>
    <t>матеріальні витрати</t>
  </si>
  <si>
    <t>оплата праці</t>
  </si>
  <si>
    <t>відрахування на соціальні заходи</t>
  </si>
  <si>
    <t>амортизація</t>
  </si>
  <si>
    <t>інші витрати</t>
  </si>
  <si>
    <t>6. Витрати на оренду службових автомобілів (у складі адміністративних витрат, рядок 1042)</t>
  </si>
  <si>
    <t>№ з/п</t>
  </si>
  <si>
    <t>Договір</t>
  </si>
  <si>
    <t>Марка</t>
  </si>
  <si>
    <t>Мета використання</t>
  </si>
  <si>
    <t>Дата початку оренди</t>
  </si>
  <si>
    <t>Сума орендної плати</t>
  </si>
  <si>
    <t>Усього на рік</t>
  </si>
  <si>
    <t>у тому числі за кварталами</t>
  </si>
  <si>
    <t xml:space="preserve">І </t>
  </si>
  <si>
    <t xml:space="preserve">ІІ </t>
  </si>
  <si>
    <t xml:space="preserve">ІІІ </t>
  </si>
  <si>
    <t>7. Джерела капітальних інвестицій</t>
  </si>
  <si>
    <t>Найменування об’єкта</t>
  </si>
  <si>
    <t>Залучення кредитних коштів</t>
  </si>
  <si>
    <t>Бюджетне фінансування</t>
  </si>
  <si>
    <t>За рахунок прибутку, який залишається в розпорядженні підприємства</t>
  </si>
  <si>
    <t>рік</t>
  </si>
  <si>
    <t>Відсоток</t>
  </si>
  <si>
    <t>продовження</t>
  </si>
  <si>
    <t>За рахунок амортизаційних відрахувань</t>
  </si>
  <si>
    <t>Інші джерела (розшифрувати)</t>
  </si>
  <si>
    <t>УСЬОГО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</si>
  <si>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</si>
  <si>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8. Капітальне будівництво (рядок 4010 таблиці 4)</t>
  </si>
  <si>
    <t>№</t>
  </si>
  <si>
    <t xml:space="preserve">Найменування об’єктів </t>
  </si>
  <si>
    <t>Рік початк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</si>
  <si>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</si>
  <si>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</si>
  <si>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</si>
  <si>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</si>
  <si>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</si>
  <si>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</si>
  <si>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</si>
  <si>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</si>
  <si>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</si>
  <si>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</si>
  <si>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</si>
  <si>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9.План використання бюджетних коштів</t>
  </si>
  <si>
    <t>7</t>
  </si>
  <si>
    <t>8</t>
  </si>
  <si>
    <t>9</t>
  </si>
  <si>
    <t>10</t>
  </si>
  <si>
    <t>державний бюджет</t>
  </si>
  <si>
    <t xml:space="preserve">     надходження коштів (розшифрувати)</t>
  </si>
  <si>
    <t xml:space="preserve">     використання коштів (розшифрувати)</t>
  </si>
  <si>
    <t>обласний бюджет</t>
  </si>
  <si>
    <t>міський бюджет</t>
  </si>
  <si>
    <t xml:space="preserve">     надходження коштів :</t>
  </si>
  <si>
    <t xml:space="preserve">     використання коштів (розшифрувати):</t>
  </si>
  <si>
    <t>-заробітна плата</t>
  </si>
  <si>
    <t>-нарахування ЄСВ</t>
  </si>
  <si>
    <t>Додаток 2 до пояснювальної записки до фінансового плану та звіту про виконання фінансового плану</t>
  </si>
  <si>
    <t xml:space="preserve">Інформація про претензійно-позовну роботу комунального підприємства __КП  "Житомиртранспорт ЖМР"__ </t>
  </si>
  <si>
    <t xml:space="preserve">Сума кредиторської заборгованості 4213,8 тис. грн </t>
  </si>
  <si>
    <t xml:space="preserve">Сума дебіторської заборгованості 6416,8 тис. грн </t>
  </si>
  <si>
    <t>Справи за позовом підприємства</t>
  </si>
  <si>
    <t>тис. грн.</t>
  </si>
  <si>
    <t>Номер справи та судова інстанція</t>
  </si>
  <si>
    <t>ПІБ або назва відповідача</t>
  </si>
  <si>
    <t>Предмет позову</t>
  </si>
  <si>
    <t>Пред"явлено позовів</t>
  </si>
  <si>
    <t>Задоволено позовів</t>
  </si>
  <si>
    <t>У стадії розгляду</t>
  </si>
  <si>
    <t>Стягнуто за рішенням суду</t>
  </si>
  <si>
    <t>Інформація про виконання судового рішення</t>
  </si>
  <si>
    <t>Перебуває на виконанні у виконавчій службі</t>
  </si>
  <si>
    <t>кількість</t>
  </si>
  <si>
    <t>Х</t>
  </si>
  <si>
    <t>Справи за позовом до підприємства</t>
  </si>
  <si>
    <t>ПІБ або назва позивача</t>
  </si>
  <si>
    <t>Відомості про спори немайнового характеру</t>
  </si>
  <si>
    <t>Сторони</t>
  </si>
  <si>
    <t>Стадія розгляду</t>
  </si>
  <si>
    <t xml:space="preserve"> Виконавець</t>
  </si>
  <si>
    <t xml:space="preserve"> Додаток 3 до пояснювальної записки до фінансового плану</t>
  </si>
  <si>
    <t xml:space="preserve">                        Відомості про майно</t>
  </si>
  <si>
    <t>КП "Житомиртранс"</t>
  </si>
  <si>
    <t xml:space="preserve">                                                                                                                                                          (назва підприємства)</t>
  </si>
  <si>
    <t>Назва майна</t>
  </si>
  <si>
    <t>Місце знаходження</t>
  </si>
  <si>
    <t>Сума нарахованого зносу                   ( тис.грн.)</t>
  </si>
  <si>
    <t>Фактичний стан майна (тис.грн.)</t>
  </si>
  <si>
    <t>Земельні ділянки</t>
  </si>
  <si>
    <t xml:space="preserve">  в т.ч. передано в оренду </t>
  </si>
  <si>
    <t>Будинки та споруди</t>
  </si>
  <si>
    <t>м. Житомир, вул Гагаріна, 24</t>
  </si>
  <si>
    <t>Машини та обладнання (валідатори)</t>
  </si>
  <si>
    <t xml:space="preserve">Транспортні засоби </t>
  </si>
  <si>
    <t xml:space="preserve">  в т.ч. передано в оренду</t>
  </si>
  <si>
    <t>Інші основні засоби (табло)</t>
  </si>
  <si>
    <t>Інші  ОЗ, необоротні матеріальні активи (у т.ч. стенди)</t>
  </si>
  <si>
    <t>Матеріальні і нематеріальні активи (у т.ч. АСОП)</t>
  </si>
  <si>
    <t>Незавершені капітальні інвестиції</t>
  </si>
  <si>
    <t>Примітка*   показники додатку 3 повинні відповідати показникам фінансової звітності Форми № 1 "Баланс" та складається на останню звітну дату.</t>
  </si>
  <si>
    <t>Первісна вартість на 2020</t>
  </si>
  <si>
    <t>Амортизація на початок 2020</t>
  </si>
  <si>
    <t>Амортизація зв 9 місяців 2020</t>
  </si>
  <si>
    <t>АМОРТИЗАЦІЯ наростаючим</t>
  </si>
  <si>
    <t>Залишкова вартість</t>
  </si>
  <si>
    <t>01.2020 отримано валідатори</t>
  </si>
  <si>
    <t>Нежитлове приміщення по вул Гагаріна,24-138,7 м кв.</t>
  </si>
  <si>
    <t xml:space="preserve">Машини та обладнання </t>
  </si>
  <si>
    <t>валідатори+інше</t>
  </si>
  <si>
    <t>валідатори ЖТТУ</t>
  </si>
  <si>
    <t>Інструменти, прилади, інвентар</t>
  </si>
  <si>
    <t>електронне табло</t>
  </si>
  <si>
    <t>Інші основні засоби</t>
  </si>
  <si>
    <t>програма АСОП</t>
  </si>
  <si>
    <t>МНМА</t>
  </si>
  <si>
    <t>АПАРАТУРА</t>
  </si>
  <si>
    <t>Додаток 4 до пояснювальної записки до фінансового звіту</t>
  </si>
  <si>
    <t>Показники</t>
  </si>
  <si>
    <t>Роки</t>
  </si>
  <si>
    <t>Доходи</t>
  </si>
  <si>
    <t>Витрати</t>
  </si>
  <si>
    <t>Чистий прибуток</t>
  </si>
  <si>
    <t>Використання прибутку</t>
  </si>
  <si>
    <t>Нерозподілений прибуток (збиток) на кінець року</t>
  </si>
  <si>
    <t>Дебіторська заборгованість на кінець року</t>
  </si>
  <si>
    <t>Кредиторська заборгованість на кінець року</t>
  </si>
  <si>
    <t>Середньооблікова чисельність (чол.) всього, в т.ч.:</t>
  </si>
  <si>
    <t>Примітка: Фактичні дані заповнюються за 5 років, що передують плановому.</t>
  </si>
  <si>
    <t>ПОГОДЖЕНО</t>
  </si>
  <si>
    <t>ЗАТВЕРДЖЕНО</t>
  </si>
  <si>
    <t>В.о.начальника управління транспорту і зв’язку Житомирської міської ради</t>
  </si>
  <si>
    <t>В.о.директора КП "Житомиртранспорт" Житомирської міської ради</t>
  </si>
  <si>
    <t>_________________ Микола ЄРМАКОВ</t>
  </si>
  <si>
    <t>_________________Іван МИКИТЮК</t>
  </si>
  <si>
    <t>Штатний розпис</t>
  </si>
  <si>
    <t>Комунального підприємства "Житомиртранспорт" Житомирської міської ради</t>
  </si>
  <si>
    <t>Посада</t>
  </si>
  <si>
    <t>Код за класифікатором професій</t>
  </si>
  <si>
    <t>Кількість штатних одиниць</t>
  </si>
  <si>
    <t>Посадові оклади, грн.</t>
  </si>
  <si>
    <t>доплати до мінімальної зп</t>
  </si>
  <si>
    <t>Місячний фонд заробітної плати, грн.</t>
  </si>
  <si>
    <t>фахівець з публічних закупівель</t>
  </si>
  <si>
    <t>2419.2</t>
  </si>
  <si>
    <t>економіст</t>
  </si>
  <si>
    <t>2441.2</t>
  </si>
  <si>
    <t>інспектор з кадрів</t>
  </si>
  <si>
    <t>3423</t>
  </si>
  <si>
    <t>інженер-електронік з ремонту та обслуговування устаткування служби комп'ютерних мереж, інформаційних технологій  та адміністрування систем</t>
  </si>
  <si>
    <t>старший контролер пасажирського транспорту служби контролю громадського транспорту</t>
  </si>
  <si>
    <t>4211</t>
  </si>
  <si>
    <t>контролер пасажирського транспорту служби контролю громадського транспорту</t>
  </si>
  <si>
    <t>прибиральниця службових приміщень</t>
  </si>
  <si>
    <t>Усього по підприємству:</t>
  </si>
  <si>
    <t>Гол.бухгалтер</t>
  </si>
  <si>
    <t>Валентина ШУЛЯТИЦЬКА</t>
  </si>
  <si>
    <t>запрпвка вогнегасника</t>
  </si>
  <si>
    <t>послуги реєстратора/нотаріуса(зміни до установчих документів)</t>
  </si>
  <si>
    <t>Компенсація Чорнобильської відпустки</t>
  </si>
  <si>
    <t>1032/2</t>
  </si>
  <si>
    <t>1032/3</t>
  </si>
  <si>
    <t>1050/11</t>
  </si>
  <si>
    <t>1050/16</t>
  </si>
  <si>
    <t>1085/1/1</t>
  </si>
  <si>
    <t>1085/1/2</t>
  </si>
  <si>
    <t>Заробітна плата Нач. Служби контролю, головного бухгалтера</t>
  </si>
  <si>
    <t>Заробітна плата гол.диспечера, інженера електроніка, 2 старших контролери, 22 контролери</t>
  </si>
  <si>
    <t>Бюджет</t>
  </si>
  <si>
    <t>начальник служби контролю</t>
  </si>
  <si>
    <t>Головний бухгалтер</t>
  </si>
  <si>
    <t>станом на 31 грудня 2024  р.     (складається на останню звітну дату)</t>
  </si>
  <si>
    <t>Цільове фінансування міський бюджет: "Програма розвитку громадського транспорту Житомирської міської об'єднаної тариторіальної громади на 2020-2025 роки" у т.ч.:</t>
  </si>
  <si>
    <t>Плановий 2025 рік</t>
  </si>
  <si>
    <t>Утримання служби контролю,здійс-ня диспечерезації,обслуго-ня інформаційних табло та графіків руху громадського транспорту</t>
  </si>
  <si>
    <t>-забеспечення робочого процесу контролерів</t>
  </si>
  <si>
    <t>1085/1/3</t>
  </si>
  <si>
    <t>1085/2</t>
  </si>
  <si>
    <t>1085/1/4</t>
  </si>
  <si>
    <t>утримання і ремонт ел. табло, стендів</t>
  </si>
  <si>
    <t>1085/3</t>
  </si>
  <si>
    <t>1085/4</t>
  </si>
  <si>
    <t>1085/3/1</t>
  </si>
  <si>
    <t>1085/3/2</t>
  </si>
  <si>
    <t>1085/3/3</t>
  </si>
  <si>
    <t>1085/3/4</t>
  </si>
  <si>
    <t>1085/3/5</t>
  </si>
  <si>
    <t>1085/3/6</t>
  </si>
  <si>
    <t>1085/3/7</t>
  </si>
  <si>
    <t>1085/3/8</t>
  </si>
  <si>
    <t>1085/3/9</t>
  </si>
  <si>
    <t>поштові послуги</t>
  </si>
  <si>
    <t xml:space="preserve">                               </t>
  </si>
  <si>
    <t>2026 рік</t>
  </si>
  <si>
    <t>Факт минулого року (2024)</t>
  </si>
  <si>
    <t>План минулого року 2024</t>
  </si>
  <si>
    <t>Факт минулого року  2024</t>
  </si>
  <si>
    <t>План поточного року 2025</t>
  </si>
  <si>
    <t>Плановий рік 2026</t>
  </si>
  <si>
    <t>Розрахунок фонду оплати праці на 2026 рік</t>
  </si>
  <si>
    <t>з 01.01.2026</t>
  </si>
  <si>
    <t>Первісна вартість (тис.грн.) на 01.01.2025 р.</t>
  </si>
  <si>
    <t xml:space="preserve">Інформація щодо діяльності підприємства упродовж 2021-2025років </t>
  </si>
  <si>
    <t>пибирання прибудинкової теріторії,ехн.обслугвнутрішньо будинкових систем</t>
  </si>
  <si>
    <t>оприбуткування залишків металу від стендів</t>
  </si>
  <si>
    <t>продаж металолому</t>
  </si>
  <si>
    <t>1032/4</t>
  </si>
  <si>
    <t>списанн залишків металу від стендів</t>
  </si>
  <si>
    <t>списання сумнівних податкових зобов҆язань</t>
  </si>
  <si>
    <t>_________________________ 2025 р.</t>
  </si>
  <si>
    <t>_______________________2025р.</t>
  </si>
  <si>
    <t>з 01.01.2026 по 31.12.2026 року</t>
  </si>
  <si>
    <t>стаціонарний номер((336*8,6%)+336*12, інтернет для офісу2000*12=24000</t>
  </si>
  <si>
    <t>Папір для стендів, дезинфікуючі,миючізасоби, папір офісний,та інше</t>
  </si>
  <si>
    <t>ФІНАНСОВИЙ ПЛАН ПІДПРИЄМСТВА НА 2026 рік</t>
  </si>
  <si>
    <t>до фінансового плану на 2026 рік</t>
  </si>
  <si>
    <t>витрати на канцтовари, господарчі</t>
  </si>
  <si>
    <t>Канцтовари, штрафні квитанції, посвідчення,господарчі</t>
  </si>
  <si>
    <t xml:space="preserve">заправка і ремонт катріджів </t>
  </si>
  <si>
    <t>Прибирання прибудинкової теріторії, ехн. обслуг. внутрішньо буд. систем</t>
  </si>
  <si>
    <t>Залишкова вартість (тис.грн.) на 01.10.2025 р.</t>
  </si>
  <si>
    <t>місячний ФОП 3328</t>
  </si>
  <si>
    <t>посадові оклади 3328</t>
  </si>
  <si>
    <t>Проєкт програми розвитку громадського транспорту Житомирської міської об’єднаної територіальної громади на 2020-2026 роки, у т.ч.:</t>
  </si>
  <si>
    <t>Проєкт програми розвитку громадського транспорту Житомирської міської об’єднаної територіальної громади на 2020-2026 роки</t>
  </si>
  <si>
    <t>на курси підвищення кваліфікації во веденню військового оюліку і держ.закупівель</t>
  </si>
  <si>
    <t>За ведення сайту</t>
  </si>
  <si>
    <t>ремонт і придбання відеокамер для контр.</t>
  </si>
  <si>
    <t>мобільний зв'язок(гаряча лінія)8640, послуги оброб. отрим. Даних((1690*8,6%)+1690)*12міс.=20280), плата за інтернет для табло (2000*12=24000)</t>
  </si>
  <si>
    <t>підвищення кваліфікації по військовому обліку та закупівлям</t>
  </si>
  <si>
    <t>Супровід ,оновлення бухгалтерської програми, відповідно до проєкту договору на 2026 рік</t>
  </si>
  <si>
    <t>Оновлення і доступ до онлайн сервісів  програмМедок і Кадроленд, відповідно до проєкту договору на 2026 рік</t>
  </si>
  <si>
    <t>Штрафні квітанції 1700 шт.,посвідчення контролерам, папір, та інші канцтовари, папір на стенди, дезинфікуючі -миючі засоби, посвідчкння контролерам, та інше</t>
  </si>
  <si>
    <t>амортизація стендів і ел. табло , при плануванні на 2026 рік враховано фактичні показники за 9 місяців</t>
  </si>
  <si>
    <t>утримання і ремонт ел. Табло, ремонт стендів</t>
  </si>
  <si>
    <t>теплопостачання- 1,35Гк*3255*6міс==26365,5грн, вода-2,2куб.*37,54*12міс=991,05грн, електроенергія-83,17квт.*8,5грн.*12міс.=8483,34грн</t>
  </si>
  <si>
    <t>водопостачання (((4куб.*37,54)*12=1801,92),(теплокомуненерго-3,2куб.*3255*6міс=62496),електроенергія( (191,2кВт*8,5*12міс.=19502,4грн.))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</si>
</sst>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_(* #\ ##0.0_);_(* \(#\ ##0.0\);_(* \-_);_(@_)"/>
    <numFmt numFmtId="165" formatCode="_(* #\ ##0.00_);_(* \(#\ ##0.00\);_(* \-_);_(@_)"/>
    <numFmt numFmtId="166" formatCode="_(* #\ ##0.0000_);_(* \(#\ ##0.0000\);_(* \-_);_(@_)"/>
    <numFmt numFmtId="167" formatCode="#\ ##0.0000"/>
    <numFmt numFmtId="168" formatCode="0.0000"/>
    <numFmt numFmtId="169" formatCode="0.0"/>
    <numFmt numFmtId="170" formatCode="_(* #\ ##0_);_(* \(#\ ##0\);_(* \-_);_(@_)"/>
    <numFmt numFmtId="171" formatCode="#\ ##0.0"/>
    <numFmt numFmtId="172" formatCode="#\ ##0.0;\(#\ ##0.0\)"/>
    <numFmt numFmtId="173" formatCode="#\ ##0.00;\(#\ ##0.00\)"/>
    <numFmt numFmtId="174" formatCode="#\ ##0;\(#\ ##0\)"/>
    <numFmt numFmtId="175" formatCode="#\ ##0.00"/>
    <numFmt numFmtId="176" formatCode="_(* #\ ##0_);_(* \(#\ ##0\);_(* \-??_);_(@_)"/>
    <numFmt numFmtId="177" formatCode="_(* #\ ##0.0_);_(* \(#\ ##0.0\);_(* \-??_);_(@_)"/>
    <numFmt numFmtId="178" formatCode="_(* #\ ##0.00_);_(* \(#\ ##0.00\);_(* \-??.00_);_(@_)"/>
    <numFmt numFmtId="179" formatCode="_(* #\ ##0.00_);_(* \(#\ ##0.00\);_(* \-??_);_(@_)"/>
    <numFmt numFmtId="180" formatCode="0.0;[Red]\-0.0"/>
    <numFmt numFmtId="181" formatCode="0.00;[Red]\-0.00"/>
    <numFmt numFmtId="182" formatCode="_(* #\ ##0.0_);_(* \(#\ ##0.0\);_(* \-??.0_);_(@_)"/>
    <numFmt numFmtId="183" formatCode="0.0_ ;[Red]\-0.0\ "/>
    <numFmt numFmtId="184" formatCode="yyyy/m"/>
    <numFmt numFmtId="185" formatCode="#\ ##0.00\ [$грн. -422]"/>
    <numFmt numFmtId="186" formatCode="#\ ##0.000"/>
    <numFmt numFmtId="187" formatCode="0.0%"/>
    <numFmt numFmtId="188" formatCode="#\ ##0"/>
    <numFmt numFmtId="189" formatCode="dd\.mm\.yyyy"/>
    <numFmt numFmtId="190" formatCode="_(* #.##_);_(* \(#.##\);_(* \-??_);_(@_)"/>
    <numFmt numFmtId="191" formatCode="_(* #####\ ##0.0_);_(* \(#####\ ##0.0\);_(* \-??.00000_);_(@_)"/>
  </numFmts>
  <fonts count="126" x14ac:knownFonts="1">
    <font>
      <sz val="10"/>
      <color rgb="FF111111"/>
      <name val="Arial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1111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color rgb="FF1111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111111"/>
      <name val="Times New Roman"/>
      <family val="1"/>
      <charset val="204"/>
    </font>
    <font>
      <sz val="14"/>
      <color rgb="FFED1C24"/>
      <name val="Times New Roman"/>
      <family val="1"/>
      <charset val="204"/>
    </font>
    <font>
      <b/>
      <u/>
      <sz val="14"/>
      <color rgb="FF111111"/>
      <name val="Times New Roman"/>
      <family val="1"/>
      <charset val="204"/>
    </font>
    <font>
      <u/>
      <sz val="14"/>
      <color rgb="FF111111"/>
      <name val="Times New Roman"/>
      <family val="1"/>
      <charset val="204"/>
    </font>
    <font>
      <sz val="12"/>
      <color rgb="FF111111"/>
      <name val="Times New Roman"/>
      <family val="1"/>
      <charset val="204"/>
    </font>
    <font>
      <sz val="15"/>
      <name val="Arial"/>
      <family val="2"/>
      <charset val="204"/>
    </font>
    <font>
      <sz val="26"/>
      <name val="Times New Roman"/>
      <family val="1"/>
      <charset val="204"/>
    </font>
    <font>
      <b/>
      <sz val="26"/>
      <name val="Times New Roman"/>
      <family val="1"/>
      <charset val="204"/>
    </font>
    <font>
      <sz val="11"/>
      <name val="Times New Roman"/>
      <family val="1"/>
      <charset val="204"/>
    </font>
    <font>
      <sz val="20"/>
      <name val="Times New Roman"/>
      <family val="1"/>
      <charset val="204"/>
    </font>
    <font>
      <b/>
      <i/>
      <sz val="26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22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26"/>
      <color rgb="FF000000"/>
      <name val="Times New Roman"/>
      <family val="1"/>
      <charset val="204"/>
    </font>
    <font>
      <sz val="20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3"/>
      <color rgb="FFFF6600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26"/>
      <name val="Times New Roman"/>
      <family val="1"/>
      <charset val="204"/>
    </font>
    <font>
      <sz val="14"/>
      <color rgb="FFFF6600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26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26"/>
      <color rgb="FFFF0000"/>
      <name val="Times New Roman"/>
      <family val="1"/>
      <charset val="204"/>
    </font>
    <font>
      <b/>
      <i/>
      <sz val="14"/>
      <name val="Arial"/>
      <family val="2"/>
      <charset val="204"/>
    </font>
    <font>
      <i/>
      <sz val="20"/>
      <name val="Times New Roman"/>
      <family val="1"/>
      <charset val="204"/>
    </font>
    <font>
      <sz val="26"/>
      <name val="Calibri"/>
      <family val="2"/>
      <charset val="204"/>
    </font>
    <font>
      <sz val="20"/>
      <color rgb="FFFF66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26"/>
      <color rgb="FFFF0000"/>
      <name val="Times New Roman"/>
      <family val="1"/>
      <charset val="204"/>
    </font>
    <font>
      <i/>
      <u/>
      <sz val="26"/>
      <color rgb="FF000000"/>
      <name val="Times New Roman"/>
      <family val="1"/>
      <charset val="204"/>
    </font>
    <font>
      <u/>
      <sz val="26"/>
      <color rgb="FF000000"/>
      <name val="Times New Roman"/>
      <family val="1"/>
      <charset val="204"/>
    </font>
    <font>
      <b/>
      <u/>
      <sz val="26"/>
      <color rgb="FF000000"/>
      <name val="Times New Roman"/>
      <family val="1"/>
      <charset val="204"/>
    </font>
    <font>
      <b/>
      <i/>
      <sz val="14"/>
      <color rgb="FF11111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rgb="FF111111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sz val="14"/>
      <color rgb="FF111111"/>
      <name val="Arial"/>
      <family val="2"/>
      <charset val="204"/>
    </font>
    <font>
      <sz val="10"/>
      <color rgb="FF111111"/>
      <name val="Calibri"/>
      <family val="2"/>
      <charset val="204"/>
    </font>
    <font>
      <sz val="14"/>
      <color rgb="FF00B0F0"/>
      <name val="Times New Roman"/>
      <family val="1"/>
      <charset val="204"/>
    </font>
    <font>
      <b/>
      <sz val="10"/>
      <name val="Arial"/>
      <family val="2"/>
      <charset val="204"/>
    </font>
    <font>
      <b/>
      <sz val="18"/>
      <color rgb="FF111111"/>
      <name val="Times New Roman"/>
      <family val="1"/>
      <charset val="204"/>
    </font>
    <font>
      <sz val="18"/>
      <color rgb="FF111111"/>
      <name val="Times New Roman"/>
      <family val="1"/>
      <charset val="204"/>
    </font>
    <font>
      <i/>
      <sz val="18"/>
      <color rgb="FF111111"/>
      <name val="Times New Roman"/>
      <family val="1"/>
      <charset val="204"/>
    </font>
    <font>
      <sz val="18"/>
      <color rgb="FF111111"/>
      <name val="Arial"/>
      <family val="2"/>
      <charset val="204"/>
    </font>
    <font>
      <i/>
      <sz val="18"/>
      <color rgb="FF969696"/>
      <name val="Times New Roman"/>
      <family val="1"/>
      <charset val="204"/>
    </font>
    <font>
      <b/>
      <sz val="16"/>
      <color rgb="FF111111"/>
      <name val="Times New Roman"/>
      <family val="1"/>
      <charset val="204"/>
    </font>
    <font>
      <sz val="14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rgb="FF111111"/>
      <name val="Arial"/>
      <family val="2"/>
      <charset val="204"/>
    </font>
    <font>
      <sz val="18"/>
      <color rgb="FF00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111111"/>
      <name val="Arial"/>
      <family val="2"/>
      <charset val="204"/>
    </font>
    <font>
      <sz val="11"/>
      <color rgb="FF111111"/>
      <name val="Times New Roman"/>
      <family val="1"/>
      <charset val="204"/>
    </font>
    <font>
      <b/>
      <sz val="12"/>
      <color rgb="FF111111"/>
      <name val="Times New Roman"/>
      <family val="1"/>
      <charset val="204"/>
    </font>
    <font>
      <b/>
      <sz val="11"/>
      <color rgb="FF111111"/>
      <name val="Times New Roman"/>
      <family val="1"/>
      <charset val="204"/>
    </font>
    <font>
      <sz val="16"/>
      <color rgb="FF111111"/>
      <name val="Times New Roman"/>
      <family val="1"/>
      <charset val="204"/>
    </font>
    <font>
      <sz val="18"/>
      <color rgb="FFFF6600"/>
      <name val="Times New Roman"/>
      <family val="1"/>
      <charset val="204"/>
    </font>
    <font>
      <sz val="11"/>
      <color rgb="FFFF6600"/>
      <name val="Times New Roman"/>
      <family val="1"/>
      <charset val="204"/>
    </font>
    <font>
      <b/>
      <sz val="14"/>
      <color rgb="FF111111"/>
      <name val="Arial"/>
      <family val="2"/>
      <charset val="204"/>
    </font>
    <font>
      <sz val="14"/>
      <color rgb="FF111111"/>
      <name val="Times New Roman"/>
      <family val="1"/>
      <charset val="204"/>
    </font>
    <font>
      <sz val="12"/>
      <color rgb="FF111111"/>
      <name val="Calibri"/>
      <family val="2"/>
      <charset val="204"/>
    </font>
    <font>
      <i/>
      <sz val="12"/>
      <color rgb="FF111111"/>
      <name val="Times New Roman"/>
      <family val="1"/>
      <charset val="204"/>
    </font>
    <font>
      <i/>
      <sz val="14"/>
      <color rgb="FF111111"/>
      <name val="Times New Roman"/>
      <family val="1"/>
      <charset val="204"/>
    </font>
    <font>
      <sz val="10"/>
      <color rgb="FFFF6600"/>
      <name val="Times New Roman"/>
      <family val="1"/>
      <charset val="204"/>
    </font>
    <font>
      <sz val="13"/>
      <color rgb="FF111111"/>
      <name val="Arial"/>
      <family val="2"/>
      <charset val="204"/>
    </font>
    <font>
      <sz val="8"/>
      <color rgb="FF111111"/>
      <name val="Times New Roman"/>
      <family val="1"/>
      <charset val="204"/>
    </font>
    <font>
      <b/>
      <sz val="10"/>
      <color rgb="FF111111"/>
      <name val="Times New Roman"/>
      <family val="1"/>
      <charset val="204"/>
    </font>
    <font>
      <i/>
      <sz val="10"/>
      <color rgb="FFFF66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0"/>
      <color rgb="FF111111"/>
      <name val="Arial"/>
      <family val="2"/>
      <charset val="204"/>
    </font>
    <font>
      <u/>
      <sz val="14"/>
      <color rgb="FF00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sz val="18"/>
      <name val="Times New Roman"/>
      <family val="1"/>
      <charset val="204"/>
    </font>
    <font>
      <sz val="14"/>
      <color rgb="FF111111"/>
      <name val="Times New Roman"/>
      <family val="1"/>
      <charset val="204"/>
    </font>
    <font>
      <b/>
      <sz val="14"/>
      <color rgb="FF11111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rgb="FF111111"/>
      <name val="Times New Roman"/>
      <family val="1"/>
      <charset val="204"/>
    </font>
    <font>
      <sz val="14"/>
      <color rgb="FFED1C24"/>
      <name val="Times New Roman"/>
      <family val="1"/>
      <charset val="204"/>
    </font>
    <font>
      <b/>
      <u/>
      <sz val="14"/>
      <color rgb="FFED1C24"/>
      <name val="Times New Roman"/>
      <family val="1"/>
      <charset val="204"/>
    </font>
    <font>
      <i/>
      <sz val="14"/>
      <color rgb="FF111111"/>
      <name val="Times New Roman"/>
      <family val="1"/>
      <charset val="204"/>
    </font>
    <font>
      <sz val="14"/>
      <color rgb="FF111111"/>
      <name val="Arial"/>
      <family val="2"/>
      <charset val="204"/>
    </font>
    <font>
      <u/>
      <sz val="14"/>
      <color rgb="FF1111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26"/>
      <name val="Times New Roman"/>
      <family val="1"/>
      <charset val="204"/>
    </font>
    <font>
      <sz val="20"/>
      <name val="Times New Roman"/>
      <family val="1"/>
      <charset val="204"/>
    </font>
    <font>
      <sz val="8"/>
      <name val="Arial"/>
      <family val="2"/>
      <charset val="204"/>
    </font>
    <font>
      <sz val="12"/>
      <color rgb="FF111111"/>
      <name val="Times New Roman"/>
      <family val="1"/>
      <charset val="204"/>
    </font>
    <font>
      <sz val="12"/>
      <name val="Calibri"/>
      <family val="2"/>
      <charset val="204"/>
    </font>
    <font>
      <b/>
      <sz val="26"/>
      <color rgb="FFFF0000"/>
      <name val="Times New Roman"/>
      <family val="1"/>
      <charset val="204"/>
    </font>
    <font>
      <i/>
      <sz val="26"/>
      <color rgb="FFFF0000"/>
      <name val="Times New Roman"/>
      <family val="1"/>
      <charset val="204"/>
    </font>
    <font>
      <sz val="18"/>
      <name val="Calibri"/>
      <family val="2"/>
      <charset val="204"/>
    </font>
    <font>
      <b/>
      <i/>
      <sz val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rgb="FFFFF2CC"/>
        <bgColor rgb="FFFFFBCC"/>
      </patternFill>
    </fill>
    <fill>
      <patternFill patternType="solid">
        <fgColor rgb="FFFFFBCC"/>
        <bgColor rgb="FFFFF2CC"/>
      </patternFill>
    </fill>
    <fill>
      <patternFill patternType="solid">
        <fgColor rgb="FFBEE3D3"/>
        <bgColor rgb="FFBCE4E5"/>
      </patternFill>
    </fill>
    <fill>
      <patternFill patternType="solid">
        <fgColor rgb="FFFFE5CA"/>
        <bgColor rgb="FFFFF2CC"/>
      </patternFill>
    </fill>
    <fill>
      <patternFill patternType="solid">
        <fgColor rgb="FFADC5E7"/>
        <bgColor rgb="FFACC8BD"/>
      </patternFill>
    </fill>
    <fill>
      <patternFill patternType="solid">
        <fgColor rgb="FFFFFF00"/>
        <bgColor rgb="FFFFCC00"/>
      </patternFill>
    </fill>
    <fill>
      <patternFill patternType="solid">
        <fgColor rgb="FFFFE697"/>
        <bgColor rgb="FFFFF9AE"/>
      </patternFill>
    </fill>
    <fill>
      <patternFill patternType="solid">
        <fgColor rgb="FFFFFF99"/>
        <bgColor rgb="FFFFF9AE"/>
      </patternFill>
    </fill>
    <fill>
      <patternFill patternType="solid">
        <fgColor rgb="FFCCFFCC"/>
        <bgColor rgb="FFCCFFFF"/>
      </patternFill>
    </fill>
    <fill>
      <patternFill patternType="solid">
        <fgColor rgb="FFCCFFFF"/>
        <bgColor rgb="FFCCFFCC"/>
      </patternFill>
    </fill>
    <fill>
      <patternFill patternType="solid">
        <fgColor rgb="FF99CCFF"/>
        <bgColor rgb="FFADC5E7"/>
      </patternFill>
    </fill>
    <fill>
      <patternFill patternType="solid">
        <fgColor rgb="FFFFF9AE"/>
        <bgColor rgb="FFFFFF99"/>
      </patternFill>
    </fill>
    <fill>
      <patternFill patternType="solid">
        <fgColor rgb="FF969696"/>
        <bgColor rgb="FF808080"/>
      </patternFill>
    </fill>
    <fill>
      <patternFill patternType="solid">
        <fgColor rgb="FFFF9900"/>
        <bgColor rgb="FFFFCC00"/>
      </patternFill>
    </fill>
    <fill>
      <patternFill patternType="solid">
        <fgColor theme="0"/>
        <bgColor rgb="FFBCE4E5"/>
      </patternFill>
    </fill>
    <fill>
      <patternFill patternType="solid">
        <fgColor theme="0"/>
        <bgColor rgb="FFFFFB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CCFFCC"/>
      </patternFill>
    </fill>
    <fill>
      <patternFill patternType="solid">
        <fgColor theme="0"/>
        <bgColor rgb="FFBEE3D3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80"/>
      </left>
      <right style="thin">
        <color rgb="FF000080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800000"/>
      </left>
      <right style="thin">
        <color rgb="FF800000"/>
      </right>
      <top style="thin">
        <color rgb="FF800000"/>
      </top>
      <bottom style="thin">
        <color rgb="FF800000"/>
      </bottom>
      <diagonal/>
    </border>
    <border>
      <left style="thin">
        <color rgb="FF800000"/>
      </left>
      <right/>
      <top style="thin">
        <color rgb="FF800000"/>
      </top>
      <bottom style="thin">
        <color rgb="FF80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rgb="FF111111"/>
      </right>
      <top style="medium">
        <color auto="1"/>
      </top>
      <bottom/>
      <diagonal/>
    </border>
    <border>
      <left style="thin">
        <color rgb="FF111111"/>
      </left>
      <right style="thin">
        <color rgb="FF111111"/>
      </right>
      <top style="medium">
        <color auto="1"/>
      </top>
      <bottom/>
      <diagonal/>
    </border>
    <border>
      <left style="thin">
        <color rgb="FF111111"/>
      </left>
      <right style="thin">
        <color rgb="FF111111"/>
      </right>
      <top style="medium">
        <color auto="1"/>
      </top>
      <bottom style="thin">
        <color rgb="FF111111"/>
      </bottom>
      <diagonal/>
    </border>
    <border>
      <left style="thin">
        <color rgb="FF111111"/>
      </left>
      <right style="medium">
        <color auto="1"/>
      </right>
      <top style="medium">
        <color auto="1"/>
      </top>
      <bottom style="thin">
        <color rgb="FF111111"/>
      </bottom>
      <diagonal/>
    </border>
    <border>
      <left style="thin">
        <color rgb="FF111111"/>
      </left>
      <right style="thin">
        <color rgb="FF111111"/>
      </right>
      <top style="thin">
        <color rgb="FF111111"/>
      </top>
      <bottom style="thin">
        <color rgb="FF111111"/>
      </bottom>
      <diagonal/>
    </border>
    <border>
      <left style="thin">
        <color rgb="FF111111"/>
      </left>
      <right style="thin">
        <color rgb="FF111111"/>
      </right>
      <top style="thin">
        <color rgb="FF111111"/>
      </top>
      <bottom/>
      <diagonal/>
    </border>
    <border>
      <left style="thin">
        <color rgb="FF111111"/>
      </left>
      <right/>
      <top style="thin">
        <color rgb="FF111111"/>
      </top>
      <bottom/>
      <diagonal/>
    </border>
    <border>
      <left/>
      <right style="thin">
        <color rgb="FF111111"/>
      </right>
      <top style="thin">
        <color rgb="FF111111"/>
      </top>
      <bottom/>
      <diagonal/>
    </border>
    <border>
      <left style="thin">
        <color rgb="FF111111"/>
      </left>
      <right style="thin">
        <color rgb="FF111111"/>
      </right>
      <top/>
      <bottom style="thin">
        <color rgb="FF111111"/>
      </bottom>
      <diagonal/>
    </border>
    <border>
      <left style="thin">
        <color rgb="FF111111"/>
      </left>
      <right style="thin">
        <color rgb="FF111111"/>
      </right>
      <top/>
      <bottom/>
      <diagonal/>
    </border>
    <border>
      <left style="medium">
        <color auto="1"/>
      </left>
      <right style="thin">
        <color rgb="FF111111"/>
      </right>
      <top style="thin">
        <color rgb="FF111111"/>
      </top>
      <bottom style="thin">
        <color rgb="FF111111"/>
      </bottom>
      <diagonal/>
    </border>
    <border>
      <left style="thin">
        <color rgb="FF111111"/>
      </left>
      <right style="medium">
        <color auto="1"/>
      </right>
      <top style="thin">
        <color rgb="FF111111"/>
      </top>
      <bottom style="thin">
        <color rgb="FF111111"/>
      </bottom>
      <diagonal/>
    </border>
    <border>
      <left style="thin">
        <color rgb="FF111111"/>
      </left>
      <right style="thin">
        <color rgb="FF111111"/>
      </right>
      <top style="thin">
        <color rgb="FF11111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thin">
        <color rgb="FF800000"/>
      </bottom>
      <diagonal/>
    </border>
    <border>
      <left style="thin">
        <color rgb="FFACC8BD"/>
      </left>
      <right style="thin">
        <color rgb="FFACC8BD"/>
      </right>
      <top style="thin">
        <color rgb="FFACC8BD"/>
      </top>
      <bottom style="thin">
        <color rgb="FFACC8BD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997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166" fontId="4" fillId="0" borderId="3" xfId="0" applyNumberFormat="1" applyFont="1" applyBorder="1" applyAlignment="1">
      <alignment horizontal="right" vertical="center" wrapText="1"/>
    </xf>
    <xf numFmtId="167" fontId="4" fillId="0" borderId="3" xfId="0" applyNumberFormat="1" applyFont="1" applyBorder="1" applyAlignment="1">
      <alignment horizontal="right" vertical="center" wrapText="1"/>
    </xf>
    <xf numFmtId="167" fontId="8" fillId="0" borderId="3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 applyAlignment="1">
      <alignment wrapText="1"/>
    </xf>
    <xf numFmtId="0" fontId="4" fillId="0" borderId="2" xfId="0" applyFont="1" applyBorder="1" applyAlignment="1">
      <alignment horizontal="center"/>
    </xf>
    <xf numFmtId="164" fontId="4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left" vertical="top" wrapText="1"/>
    </xf>
    <xf numFmtId="168" fontId="4" fillId="0" borderId="3" xfId="0" applyNumberFormat="1" applyFont="1" applyBorder="1" applyAlignment="1">
      <alignment horizontal="center" vertical="center" wrapText="1"/>
    </xf>
    <xf numFmtId="166" fontId="4" fillId="0" borderId="3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165" fontId="4" fillId="0" borderId="3" xfId="0" applyNumberFormat="1" applyFont="1" applyBorder="1" applyAlignment="1">
      <alignment horizontal="center" vertical="center" wrapText="1"/>
    </xf>
    <xf numFmtId="170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71" fontId="4" fillId="0" borderId="0" xfId="0" applyNumberFormat="1" applyFont="1" applyAlignment="1">
      <alignment horizontal="center" vertical="center" wrapText="1"/>
    </xf>
    <xf numFmtId="171" fontId="4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71" fontId="12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9" fillId="0" borderId="0" xfId="0" applyFont="1"/>
    <xf numFmtId="0" fontId="13" fillId="0" borderId="6" xfId="0" applyFont="1" applyBorder="1"/>
    <xf numFmtId="0" fontId="1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72" fontId="3" fillId="0" borderId="0" xfId="0" applyNumberFormat="1" applyFont="1" applyAlignment="1">
      <alignment horizontal="center"/>
    </xf>
    <xf numFmtId="0" fontId="14" fillId="0" borderId="0" xfId="0" applyFont="1"/>
    <xf numFmtId="0" fontId="1" fillId="0" borderId="0" xfId="0" applyFont="1"/>
    <xf numFmtId="0" fontId="16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7" fillId="0" borderId="0" xfId="0" applyFont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172" fontId="15" fillId="2" borderId="3" xfId="0" applyNumberFormat="1" applyFont="1" applyFill="1" applyBorder="1" applyAlignment="1">
      <alignment horizontal="center" vertical="center" wrapText="1"/>
    </xf>
    <xf numFmtId="169" fontId="15" fillId="0" borderId="3" xfId="0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172" fontId="16" fillId="2" borderId="3" xfId="0" applyNumberFormat="1" applyFont="1" applyFill="1" applyBorder="1" applyAlignment="1">
      <alignment horizontal="center" vertical="center" wrapText="1"/>
    </xf>
    <xf numFmtId="174" fontId="15" fillId="0" borderId="3" xfId="0" applyNumberFormat="1" applyFont="1" applyBorder="1" applyAlignment="1">
      <alignment horizontal="center" vertical="center" wrapText="1"/>
    </xf>
    <xf numFmtId="174" fontId="15" fillId="2" borderId="7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49" fontId="19" fillId="0" borderId="4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right" vertical="center"/>
    </xf>
    <xf numFmtId="172" fontId="19" fillId="2" borderId="3" xfId="0" applyNumberFormat="1" applyFont="1" applyFill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1" fillId="0" borderId="0" xfId="0" applyFont="1" applyAlignment="1">
      <alignment wrapText="1"/>
    </xf>
    <xf numFmtId="0" fontId="22" fillId="2" borderId="3" xfId="0" applyFont="1" applyFill="1" applyBorder="1" applyAlignment="1">
      <alignment horizontal="left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164" fontId="16" fillId="2" borderId="3" xfId="0" applyNumberFormat="1" applyFont="1" applyFill="1" applyBorder="1" applyAlignment="1">
      <alignment horizontal="right" vertical="center"/>
    </xf>
    <xf numFmtId="172" fontId="16" fillId="2" borderId="8" xfId="0" applyNumberFormat="1" applyFont="1" applyFill="1" applyBorder="1" applyAlignment="1">
      <alignment horizontal="center" vertical="center" wrapText="1"/>
    </xf>
    <xf numFmtId="170" fontId="18" fillId="2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23" fillId="0" borderId="3" xfId="0" applyFont="1" applyBorder="1" applyAlignment="1">
      <alignment horizontal="left" vertical="center" wrapText="1"/>
    </xf>
    <xf numFmtId="0" fontId="24" fillId="0" borderId="3" xfId="0" applyFont="1" applyBorder="1" applyAlignment="1">
      <alignment vertical="center" wrapText="1"/>
    </xf>
    <xf numFmtId="0" fontId="25" fillId="0" borderId="3" xfId="0" applyFont="1" applyBorder="1" applyAlignment="1">
      <alignment horizontal="left" vertical="center" wrapText="1"/>
    </xf>
    <xf numFmtId="171" fontId="15" fillId="0" borderId="3" xfId="0" applyNumberFormat="1" applyFont="1" applyBorder="1" applyAlignment="1">
      <alignment horizontal="right" vertical="center" wrapText="1"/>
    </xf>
    <xf numFmtId="170" fontId="18" fillId="0" borderId="3" xfId="0" applyNumberFormat="1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/>
    </xf>
    <xf numFmtId="172" fontId="26" fillId="2" borderId="3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2" fontId="29" fillId="0" borderId="0" xfId="0" applyNumberFormat="1" applyFont="1" applyAlignment="1">
      <alignment vertical="center" wrapText="1"/>
    </xf>
    <xf numFmtId="2" fontId="29" fillId="0" borderId="0" xfId="0" applyNumberFormat="1" applyFont="1" applyAlignment="1">
      <alignment horizontal="center" vertical="center"/>
    </xf>
    <xf numFmtId="175" fontId="29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169" fontId="17" fillId="0" borderId="0" xfId="0" applyNumberFormat="1" applyFont="1" applyAlignment="1">
      <alignment horizontal="center" wrapText="1"/>
    </xf>
    <xf numFmtId="169" fontId="3" fillId="0" borderId="0" xfId="0" applyNumberFormat="1" applyFont="1" applyAlignment="1">
      <alignment horizontal="center" vertical="center" wrapText="1"/>
    </xf>
    <xf numFmtId="169" fontId="23" fillId="0" borderId="1" xfId="0" applyNumberFormat="1" applyFont="1" applyBorder="1" applyAlignment="1">
      <alignment horizontal="center" vertical="center" wrapText="1"/>
    </xf>
    <xf numFmtId="169" fontId="24" fillId="0" borderId="3" xfId="0" applyNumberFormat="1" applyFont="1" applyBorder="1" applyAlignment="1">
      <alignment vertical="center" wrapText="1"/>
    </xf>
    <xf numFmtId="0" fontId="28" fillId="0" borderId="3" xfId="0" applyFont="1" applyBorder="1" applyAlignment="1">
      <alignment vertical="center" wrapText="1"/>
    </xf>
    <xf numFmtId="0" fontId="29" fillId="0" borderId="3" xfId="0" applyFont="1" applyBorder="1" applyAlignment="1">
      <alignment vertical="center" wrapText="1"/>
    </xf>
    <xf numFmtId="176" fontId="29" fillId="0" borderId="0" xfId="0" applyNumberFormat="1" applyFont="1" applyAlignment="1">
      <alignment horizontal="center" vertical="center" wrapText="1"/>
    </xf>
    <xf numFmtId="177" fontId="29" fillId="0" borderId="0" xfId="0" applyNumberFormat="1" applyFont="1" applyAlignment="1">
      <alignment horizontal="center" vertical="center" wrapText="1"/>
    </xf>
    <xf numFmtId="176" fontId="17" fillId="0" borderId="0" xfId="0" applyNumberFormat="1" applyFont="1" applyAlignment="1">
      <alignment horizontal="center" wrapText="1"/>
    </xf>
    <xf numFmtId="0" fontId="23" fillId="0" borderId="1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178" fontId="17" fillId="0" borderId="0" xfId="0" applyNumberFormat="1" applyFont="1" applyAlignment="1">
      <alignment horizontal="center" wrapText="1"/>
    </xf>
    <xf numFmtId="178" fontId="29" fillId="0" borderId="0" xfId="0" applyNumberFormat="1" applyFont="1" applyAlignment="1">
      <alignment horizontal="center" vertical="center"/>
    </xf>
    <xf numFmtId="176" fontId="29" fillId="0" borderId="0" xfId="0" applyNumberFormat="1" applyFont="1" applyAlignment="1">
      <alignment vertical="center" wrapText="1"/>
    </xf>
    <xf numFmtId="177" fontId="29" fillId="0" borderId="0" xfId="0" applyNumberFormat="1" applyFont="1" applyAlignment="1">
      <alignment vertical="center" wrapText="1"/>
    </xf>
    <xf numFmtId="0" fontId="30" fillId="0" borderId="3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2" fontId="17" fillId="0" borderId="0" xfId="0" applyNumberFormat="1" applyFont="1" applyAlignment="1">
      <alignment horizontal="right" wrapText="1"/>
    </xf>
    <xf numFmtId="0" fontId="30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172" fontId="16" fillId="2" borderId="3" xfId="0" applyNumberFormat="1" applyFont="1" applyFill="1" applyBorder="1" applyAlignment="1">
      <alignment horizontal="right" vertical="center" wrapText="1"/>
    </xf>
    <xf numFmtId="172" fontId="18" fillId="2" borderId="5" xfId="0" applyNumberFormat="1" applyFont="1" applyFill="1" applyBorder="1" applyAlignment="1">
      <alignment horizontal="center" vertical="center" wrapText="1"/>
    </xf>
    <xf numFmtId="172" fontId="3" fillId="0" borderId="9" xfId="0" applyNumberFormat="1" applyFont="1" applyBorder="1" applyAlignment="1">
      <alignment vertical="center" wrapText="1"/>
    </xf>
    <xf numFmtId="172" fontId="3" fillId="0" borderId="0" xfId="0" applyNumberFormat="1" applyFont="1" applyAlignment="1">
      <alignment vertical="center" wrapText="1"/>
    </xf>
    <xf numFmtId="176" fontId="17" fillId="0" borderId="0" xfId="0" applyNumberFormat="1" applyFont="1" applyAlignment="1">
      <alignment wrapText="1"/>
    </xf>
    <xf numFmtId="0" fontId="15" fillId="0" borderId="3" xfId="0" applyFont="1" applyBorder="1" applyAlignment="1">
      <alignment horizontal="left" vertical="center" wrapText="1"/>
    </xf>
    <xf numFmtId="165" fontId="32" fillId="0" borderId="3" xfId="0" applyNumberFormat="1" applyFont="1" applyBorder="1" applyAlignment="1">
      <alignment horizontal="center" vertical="center" wrapText="1"/>
    </xf>
    <xf numFmtId="165" fontId="33" fillId="0" borderId="0" xfId="0" applyNumberFormat="1" applyFont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49" fontId="27" fillId="0" borderId="3" xfId="0" applyNumberFormat="1" applyFont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24" fillId="0" borderId="0" xfId="0" applyFont="1" applyAlignment="1">
      <alignment vertical="center" wrapText="1"/>
    </xf>
    <xf numFmtId="1" fontId="17" fillId="0" borderId="0" xfId="0" applyNumberFormat="1" applyFont="1" applyAlignment="1">
      <alignment wrapText="1"/>
    </xf>
    <xf numFmtId="1" fontId="24" fillId="0" borderId="0" xfId="0" applyNumberFormat="1" applyFont="1" applyAlignment="1">
      <alignment vertical="center" wrapText="1"/>
    </xf>
    <xf numFmtId="49" fontId="34" fillId="0" borderId="0" xfId="0" applyNumberFormat="1" applyFont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35" fillId="0" borderId="9" xfId="0" applyFont="1" applyBorder="1" applyAlignment="1">
      <alignment vertical="center" wrapText="1"/>
    </xf>
    <xf numFmtId="0" fontId="35" fillId="0" borderId="0" xfId="0" applyFont="1" applyAlignment="1">
      <alignment vertical="center" wrapText="1"/>
    </xf>
    <xf numFmtId="1" fontId="3" fillId="0" borderId="0" xfId="0" applyNumberFormat="1" applyFont="1" applyAlignment="1">
      <alignment vertical="center" wrapText="1"/>
    </xf>
    <xf numFmtId="172" fontId="16" fillId="2" borderId="3" xfId="0" applyNumberFormat="1" applyFont="1" applyFill="1" applyBorder="1" applyAlignment="1">
      <alignment horizontal="left" vertical="center" wrapText="1"/>
    </xf>
    <xf numFmtId="172" fontId="18" fillId="2" borderId="3" xfId="0" applyNumberFormat="1" applyFont="1" applyFill="1" applyBorder="1" applyAlignment="1">
      <alignment horizontal="center" vertical="center" wrapText="1"/>
    </xf>
    <xf numFmtId="0" fontId="36" fillId="0" borderId="3" xfId="0" applyFont="1" applyBorder="1" applyAlignment="1">
      <alignment horizontal="left" vertical="center" wrapText="1"/>
    </xf>
    <xf numFmtId="0" fontId="28" fillId="4" borderId="3" xfId="0" applyFont="1" applyFill="1" applyBorder="1" applyAlignment="1">
      <alignment horizontal="center" vertical="center" wrapText="1"/>
    </xf>
    <xf numFmtId="165" fontId="2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37" fillId="0" borderId="9" xfId="0" applyFont="1" applyBorder="1" applyAlignment="1">
      <alignment vertical="center" wrapText="1"/>
    </xf>
    <xf numFmtId="165" fontId="2" fillId="0" borderId="0" xfId="0" applyNumberFormat="1" applyFont="1" applyAlignment="1">
      <alignment horizontal="center" vertical="center" wrapText="1"/>
    </xf>
    <xf numFmtId="1" fontId="21" fillId="0" borderId="0" xfId="0" applyNumberFormat="1" applyFont="1" applyAlignment="1">
      <alignment wrapText="1"/>
    </xf>
    <xf numFmtId="165" fontId="28" fillId="0" borderId="3" xfId="0" applyNumberFormat="1" applyFont="1" applyBorder="1" applyAlignment="1">
      <alignment horizontal="center" vertical="center" wrapText="1"/>
    </xf>
    <xf numFmtId="172" fontId="3" fillId="0" borderId="0" xfId="0" applyNumberFormat="1" applyFont="1" applyAlignment="1">
      <alignment wrapText="1"/>
    </xf>
    <xf numFmtId="0" fontId="23" fillId="0" borderId="0" xfId="0" applyFont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vertical="center" wrapText="1"/>
    </xf>
    <xf numFmtId="10" fontId="28" fillId="0" borderId="11" xfId="0" applyNumberFormat="1" applyFont="1" applyBorder="1" applyAlignment="1">
      <alignment horizontal="center" vertical="center" wrapText="1"/>
    </xf>
    <xf numFmtId="169" fontId="2" fillId="0" borderId="0" xfId="0" applyNumberFormat="1" applyFont="1" applyAlignment="1">
      <alignment vertical="center" wrapText="1"/>
    </xf>
    <xf numFmtId="169" fontId="21" fillId="0" borderId="0" xfId="0" applyNumberFormat="1" applyFont="1" applyAlignment="1">
      <alignment wrapText="1"/>
    </xf>
    <xf numFmtId="0" fontId="18" fillId="0" borderId="3" xfId="0" applyFont="1" applyBorder="1" applyAlignment="1">
      <alignment horizontal="center" vertical="center" wrapText="1" readingOrder="1"/>
    </xf>
    <xf numFmtId="0" fontId="29" fillId="0" borderId="0" xfId="0" applyFont="1" applyAlignment="1">
      <alignment horizontal="left" vertical="center" wrapText="1"/>
    </xf>
    <xf numFmtId="172" fontId="18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165" fontId="29" fillId="0" borderId="0" xfId="0" applyNumberFormat="1" applyFont="1" applyAlignment="1">
      <alignment horizontal="left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172" fontId="18" fillId="0" borderId="3" xfId="0" applyNumberFormat="1" applyFont="1" applyBorder="1" applyAlignment="1">
      <alignment horizontal="center" vertical="center" wrapText="1"/>
    </xf>
    <xf numFmtId="0" fontId="36" fillId="0" borderId="8" xfId="0" applyFont="1" applyBorder="1" applyAlignment="1">
      <alignment horizontal="left" vertical="center" wrapText="1"/>
    </xf>
    <xf numFmtId="170" fontId="18" fillId="6" borderId="14" xfId="0" applyNumberFormat="1" applyFont="1" applyFill="1" applyBorder="1" applyAlignment="1">
      <alignment horizontal="center" vertical="center" wrapText="1"/>
    </xf>
    <xf numFmtId="170" fontId="18" fillId="0" borderId="14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wrapText="1"/>
    </xf>
    <xf numFmtId="0" fontId="39" fillId="0" borderId="3" xfId="0" applyFont="1" applyBorder="1" applyAlignment="1">
      <alignment horizontal="left" vertical="center" wrapText="1"/>
    </xf>
    <xf numFmtId="165" fontId="18" fillId="0" borderId="5" xfId="0" applyNumberFormat="1" applyFont="1" applyBorder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72" fontId="3" fillId="0" borderId="0" xfId="0" applyNumberFormat="1" applyFont="1" applyAlignment="1">
      <alignment horizontal="right" vertical="center" wrapText="1"/>
    </xf>
    <xf numFmtId="172" fontId="18" fillId="0" borderId="9" xfId="0" applyNumberFormat="1" applyFont="1" applyBorder="1" applyAlignment="1">
      <alignment horizontal="center" vertical="center" wrapText="1"/>
    </xf>
    <xf numFmtId="172" fontId="24" fillId="0" borderId="1" xfId="0" applyNumberFormat="1" applyFont="1" applyBorder="1" applyAlignment="1">
      <alignment vertical="center" wrapText="1"/>
    </xf>
    <xf numFmtId="0" fontId="42" fillId="0" borderId="0" xfId="0" applyFont="1" applyAlignment="1">
      <alignment vertical="center"/>
    </xf>
    <xf numFmtId="172" fontId="18" fillId="0" borderId="8" xfId="0" applyNumberFormat="1" applyFont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left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172" fontId="18" fillId="2" borderId="8" xfId="0" applyNumberFormat="1" applyFont="1" applyFill="1" applyBorder="1" applyAlignment="1">
      <alignment horizontal="center" vertical="center" wrapText="1"/>
    </xf>
    <xf numFmtId="172" fontId="18" fillId="2" borderId="3" xfId="0" applyNumberFormat="1" applyFont="1" applyFill="1" applyBorder="1" applyAlignment="1">
      <alignment horizontal="right" vertical="center" wrapText="1"/>
    </xf>
    <xf numFmtId="0" fontId="18" fillId="0" borderId="3" xfId="0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16" fillId="0" borderId="3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 wrapText="1"/>
    </xf>
    <xf numFmtId="49" fontId="19" fillId="0" borderId="8" xfId="0" applyNumberFormat="1" applyFont="1" applyBorder="1" applyAlignment="1">
      <alignment horizontal="left" vertical="center" wrapText="1"/>
    </xf>
    <xf numFmtId="169" fontId="3" fillId="0" borderId="0" xfId="0" applyNumberFormat="1" applyFont="1" applyAlignment="1">
      <alignment vertical="center" wrapText="1"/>
    </xf>
    <xf numFmtId="0" fontId="36" fillId="0" borderId="3" xfId="0" applyFont="1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164" fontId="43" fillId="0" borderId="3" xfId="0" applyNumberFormat="1" applyFont="1" applyBorder="1" applyAlignment="1">
      <alignment horizontal="center" vertical="center" wrapText="1"/>
    </xf>
    <xf numFmtId="164" fontId="18" fillId="0" borderId="3" xfId="0" applyNumberFormat="1" applyFont="1" applyBorder="1" applyAlignment="1">
      <alignment horizontal="center" vertical="center" wrapText="1"/>
    </xf>
    <xf numFmtId="49" fontId="24" fillId="7" borderId="0" xfId="0" applyNumberFormat="1" applyFont="1" applyFill="1" applyAlignment="1">
      <alignment vertical="center" wrapText="1"/>
    </xf>
    <xf numFmtId="49" fontId="24" fillId="0" borderId="0" xfId="0" applyNumberFormat="1" applyFont="1" applyAlignment="1">
      <alignment vertical="center" wrapText="1"/>
    </xf>
    <xf numFmtId="172" fontId="2" fillId="0" borderId="0" xfId="0" applyNumberFormat="1" applyFont="1" applyAlignment="1">
      <alignment horizontal="center" vertical="center" wrapText="1"/>
    </xf>
    <xf numFmtId="0" fontId="18" fillId="0" borderId="8" xfId="0" applyFont="1" applyBorder="1" applyAlignment="1">
      <alignment horizontal="center" wrapText="1"/>
    </xf>
    <xf numFmtId="49" fontId="36" fillId="0" borderId="2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172" fontId="16" fillId="3" borderId="3" xfId="0" applyNumberFormat="1" applyFont="1" applyFill="1" applyBorder="1" applyAlignment="1">
      <alignment horizontal="center" vertical="center" wrapText="1"/>
    </xf>
    <xf numFmtId="170" fontId="18" fillId="0" borderId="8" xfId="0" applyNumberFormat="1" applyFont="1" applyBorder="1" applyAlignment="1">
      <alignment horizontal="center" vertical="center" wrapText="1"/>
    </xf>
    <xf numFmtId="0" fontId="40" fillId="0" borderId="0" xfId="0" applyFont="1" applyAlignment="1">
      <alignment wrapText="1"/>
    </xf>
    <xf numFmtId="0" fontId="23" fillId="0" borderId="0" xfId="0" applyFont="1" applyAlignment="1">
      <alignment vertical="center" wrapText="1"/>
    </xf>
    <xf numFmtId="0" fontId="24" fillId="0" borderId="9" xfId="0" applyFont="1" applyBorder="1" applyAlignment="1">
      <alignment vertical="top" wrapText="1"/>
    </xf>
    <xf numFmtId="170" fontId="18" fillId="0" borderId="14" xfId="0" applyNumberFormat="1" applyFont="1" applyBorder="1" applyAlignment="1">
      <alignment horizont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172" fontId="18" fillId="2" borderId="2" xfId="0" applyNumberFormat="1" applyFont="1" applyFill="1" applyBorder="1" applyAlignment="1">
      <alignment horizontal="right" vertical="center" wrapText="1"/>
    </xf>
    <xf numFmtId="172" fontId="18" fillId="2" borderId="14" xfId="0" applyNumberFormat="1" applyFont="1" applyFill="1" applyBorder="1" applyAlignment="1">
      <alignment horizontal="right" vertical="center" wrapText="1"/>
    </xf>
    <xf numFmtId="164" fontId="41" fillId="0" borderId="3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7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4" fontId="45" fillId="0" borderId="3" xfId="0" applyNumberFormat="1" applyFont="1" applyBorder="1" applyAlignment="1">
      <alignment horizontal="center" vertical="center" wrapText="1"/>
    </xf>
    <xf numFmtId="164" fontId="18" fillId="0" borderId="0" xfId="0" applyNumberFormat="1" applyFont="1" applyAlignment="1">
      <alignment vertical="center" wrapText="1"/>
    </xf>
    <xf numFmtId="0" fontId="16" fillId="0" borderId="8" xfId="0" applyFont="1" applyBorder="1" applyAlignment="1">
      <alignment wrapText="1"/>
    </xf>
    <xf numFmtId="164" fontId="18" fillId="2" borderId="3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left" vertical="center" wrapText="1"/>
    </xf>
    <xf numFmtId="49" fontId="36" fillId="0" borderId="8" xfId="0" applyNumberFormat="1" applyFont="1" applyBorder="1" applyAlignment="1">
      <alignment wrapText="1"/>
    </xf>
    <xf numFmtId="170" fontId="5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70" fontId="24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49" fontId="19" fillId="0" borderId="11" xfId="0" applyNumberFormat="1" applyFont="1" applyBorder="1" applyAlignment="1">
      <alignment horizontal="left" vertical="center" wrapText="1"/>
    </xf>
    <xf numFmtId="0" fontId="16" fillId="0" borderId="3" xfId="0" applyFont="1" applyBorder="1"/>
    <xf numFmtId="0" fontId="15" fillId="0" borderId="3" xfId="0" applyFont="1" applyBorder="1"/>
    <xf numFmtId="49" fontId="19" fillId="0" borderId="3" xfId="0" applyNumberFormat="1" applyFont="1" applyBorder="1" applyAlignment="1">
      <alignment horizontal="left" vertical="center" wrapText="1"/>
    </xf>
    <xf numFmtId="172" fontId="16" fillId="4" borderId="3" xfId="0" applyNumberFormat="1" applyFont="1" applyFill="1" applyBorder="1" applyAlignment="1">
      <alignment horizontal="center" vertical="center" wrapText="1"/>
    </xf>
    <xf numFmtId="170" fontId="32" fillId="0" borderId="3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vertical="center" wrapText="1"/>
    </xf>
    <xf numFmtId="0" fontId="46" fillId="0" borderId="0" xfId="0" applyFont="1" applyAlignment="1">
      <alignment vertical="center" wrapText="1"/>
    </xf>
    <xf numFmtId="0" fontId="24" fillId="0" borderId="9" xfId="0" applyFont="1" applyBorder="1" applyAlignment="1">
      <alignment vertical="center" wrapText="1"/>
    </xf>
    <xf numFmtId="164" fontId="18" fillId="2" borderId="3" xfId="0" applyNumberFormat="1" applyFont="1" applyFill="1" applyBorder="1" applyAlignment="1">
      <alignment horizontal="left" vertical="center" wrapText="1"/>
    </xf>
    <xf numFmtId="0" fontId="19" fillId="8" borderId="3" xfId="0" applyFont="1" applyFill="1" applyBorder="1" applyAlignment="1">
      <alignment horizontal="left" vertical="center" wrapText="1"/>
    </xf>
    <xf numFmtId="49" fontId="15" fillId="8" borderId="3" xfId="0" applyNumberFormat="1" applyFont="1" applyFill="1" applyBorder="1" applyAlignment="1">
      <alignment horizontal="center" vertical="center" wrapText="1"/>
    </xf>
    <xf numFmtId="170" fontId="18" fillId="8" borderId="3" xfId="0" applyNumberFormat="1" applyFont="1" applyFill="1" applyBorder="1" applyAlignment="1">
      <alignment horizontal="center" vertical="center" wrapText="1"/>
    </xf>
    <xf numFmtId="170" fontId="18" fillId="0" borderId="7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47" fillId="0" borderId="4" xfId="0" applyFont="1" applyBorder="1" applyAlignment="1">
      <alignment horizontal="right" vertical="center"/>
    </xf>
    <xf numFmtId="0" fontId="43" fillId="0" borderId="2" xfId="0" applyFont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172" fontId="16" fillId="3" borderId="1" xfId="0" applyNumberFormat="1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vertical="center" wrapText="1"/>
    </xf>
    <xf numFmtId="0" fontId="41" fillId="0" borderId="0" xfId="0" applyFont="1" applyAlignment="1">
      <alignment horizontal="right" vertical="center" wrapText="1"/>
    </xf>
    <xf numFmtId="173" fontId="15" fillId="0" borderId="0" xfId="0" applyNumberFormat="1" applyFont="1" applyAlignment="1">
      <alignment horizontal="right" vertical="center" wrapText="1"/>
    </xf>
    <xf numFmtId="172" fontId="27" fillId="0" borderId="0" xfId="0" applyNumberFormat="1" applyFont="1" applyAlignment="1">
      <alignment horizontal="center" vertical="center" wrapText="1"/>
    </xf>
    <xf numFmtId="169" fontId="48" fillId="0" borderId="0" xfId="0" applyNumberFormat="1" applyFont="1" applyAlignment="1">
      <alignment horizontal="right" vertical="center" wrapText="1"/>
    </xf>
    <xf numFmtId="169" fontId="49" fillId="0" borderId="0" xfId="0" applyNumberFormat="1" applyFont="1" applyAlignment="1">
      <alignment horizontal="right" vertical="center" wrapText="1"/>
    </xf>
    <xf numFmtId="0" fontId="50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/>
    </xf>
    <xf numFmtId="169" fontId="27" fillId="0" borderId="0" xfId="0" applyNumberFormat="1" applyFont="1" applyAlignment="1">
      <alignment horizontal="right" vertical="center" wrapText="1"/>
    </xf>
    <xf numFmtId="0" fontId="15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right" vertical="center"/>
    </xf>
    <xf numFmtId="173" fontId="15" fillId="0" borderId="0" xfId="0" applyNumberFormat="1" applyFont="1" applyAlignment="1">
      <alignment horizontal="right" vertical="center"/>
    </xf>
    <xf numFmtId="0" fontId="27" fillId="0" borderId="0" xfId="0" applyFont="1" applyAlignment="1">
      <alignment horizontal="right"/>
    </xf>
    <xf numFmtId="0" fontId="15" fillId="0" borderId="0" xfId="0" applyFont="1" applyAlignment="1">
      <alignment horizontal="left" vertical="center" wrapText="1"/>
    </xf>
    <xf numFmtId="49" fontId="15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4" fontId="52" fillId="0" borderId="3" xfId="0" applyNumberFormat="1" applyFont="1" applyBorder="1" applyAlignment="1">
      <alignment horizontal="right" vertical="center" wrapText="1"/>
    </xf>
    <xf numFmtId="164" fontId="52" fillId="9" borderId="3" xfId="0" applyNumberFormat="1" applyFont="1" applyFill="1" applyBorder="1" applyAlignment="1">
      <alignment horizontal="right" vertical="center" wrapText="1"/>
    </xf>
    <xf numFmtId="164" fontId="53" fillId="4" borderId="3" xfId="0" applyNumberFormat="1" applyFont="1" applyFill="1" applyBorder="1" applyAlignment="1">
      <alignment horizontal="right" vertical="center" wrapText="1"/>
    </xf>
    <xf numFmtId="164" fontId="52" fillId="9" borderId="3" xfId="0" applyNumberFormat="1" applyFont="1" applyFill="1" applyBorder="1" applyAlignment="1">
      <alignment horizontal="center" vertical="center"/>
    </xf>
    <xf numFmtId="165" fontId="53" fillId="4" borderId="3" xfId="0" applyNumberFormat="1" applyFont="1" applyFill="1" applyBorder="1" applyAlignment="1">
      <alignment horizontal="right" vertical="center" wrapText="1"/>
    </xf>
    <xf numFmtId="165" fontId="52" fillId="0" borderId="3" xfId="0" applyNumberFormat="1" applyFont="1" applyBorder="1" applyAlignment="1">
      <alignment horizontal="right" vertical="center" wrapText="1"/>
    </xf>
    <xf numFmtId="164" fontId="52" fillId="4" borderId="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2" fillId="9" borderId="3" xfId="0" applyFont="1" applyFill="1" applyBorder="1" applyAlignment="1">
      <alignment horizontal="left" vertical="center" wrapText="1"/>
    </xf>
    <xf numFmtId="164" fontId="2" fillId="9" borderId="3" xfId="0" applyNumberFormat="1" applyFont="1" applyFill="1" applyBorder="1" applyAlignment="1">
      <alignment horizontal="right" vertical="center" wrapText="1"/>
    </xf>
    <xf numFmtId="164" fontId="2" fillId="4" borderId="3" xfId="0" applyNumberFormat="1" applyFont="1" applyFill="1" applyBorder="1" applyAlignment="1">
      <alignment horizontal="right" vertical="center" wrapText="1"/>
    </xf>
    <xf numFmtId="172" fontId="52" fillId="0" borderId="3" xfId="0" applyNumberFormat="1" applyFont="1" applyBorder="1" applyAlignment="1">
      <alignment horizontal="right" vertical="center" wrapText="1"/>
    </xf>
    <xf numFmtId="0" fontId="55" fillId="0" borderId="0" xfId="0" applyFont="1" applyAlignment="1">
      <alignment vertical="center" wrapText="1"/>
    </xf>
    <xf numFmtId="164" fontId="52" fillId="0" borderId="11" xfId="0" applyNumberFormat="1" applyFont="1" applyBorder="1" applyAlignment="1">
      <alignment horizontal="right" vertical="center" wrapText="1"/>
    </xf>
    <xf numFmtId="49" fontId="2" fillId="9" borderId="3" xfId="0" applyNumberFormat="1" applyFont="1" applyFill="1" applyBorder="1" applyAlignment="1">
      <alignment horizontal="center" vertical="center" wrapText="1"/>
    </xf>
    <xf numFmtId="164" fontId="56" fillId="9" borderId="3" xfId="0" applyNumberFormat="1" applyFont="1" applyFill="1" applyBorder="1" applyAlignment="1">
      <alignment horizontal="right" vertical="center" wrapText="1"/>
    </xf>
    <xf numFmtId="164" fontId="57" fillId="0" borderId="3" xfId="0" applyNumberFormat="1" applyFont="1" applyBorder="1" applyAlignment="1">
      <alignment horizontal="right" vertical="center" wrapText="1"/>
    </xf>
    <xf numFmtId="0" fontId="2" fillId="8" borderId="3" xfId="0" applyFont="1" applyFill="1" applyBorder="1" applyAlignment="1">
      <alignment horizontal="left" vertical="center" wrapText="1"/>
    </xf>
    <xf numFmtId="49" fontId="2" fillId="8" borderId="3" xfId="0" applyNumberFormat="1" applyFont="1" applyFill="1" applyBorder="1" applyAlignment="1">
      <alignment horizontal="center" vertical="center" wrapText="1"/>
    </xf>
    <xf numFmtId="164" fontId="56" fillId="8" borderId="3" xfId="0" applyNumberFormat="1" applyFont="1" applyFill="1" applyBorder="1" applyAlignment="1">
      <alignment horizontal="right" vertical="center" wrapText="1"/>
    </xf>
    <xf numFmtId="165" fontId="56" fillId="9" borderId="3" xfId="0" applyNumberFormat="1" applyFont="1" applyFill="1" applyBorder="1" applyAlignment="1">
      <alignment horizontal="right" vertical="center" wrapText="1"/>
    </xf>
    <xf numFmtId="177" fontId="56" fillId="9" borderId="3" xfId="0" applyNumberFormat="1" applyFont="1" applyFill="1" applyBorder="1" applyAlignment="1">
      <alignment horizontal="right" vertical="center" wrapText="1"/>
    </xf>
    <xf numFmtId="164" fontId="56" fillId="9" borderId="3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172" fontId="4" fillId="0" borderId="0" xfId="0" applyNumberFormat="1" applyFont="1" applyAlignment="1">
      <alignment horizontal="right" vertical="center" wrapText="1"/>
    </xf>
    <xf numFmtId="0" fontId="4" fillId="0" borderId="0" xfId="0" applyFont="1"/>
    <xf numFmtId="0" fontId="58" fillId="0" borderId="0" xfId="0" applyFont="1"/>
    <xf numFmtId="0" fontId="59" fillId="0" borderId="0" xfId="0" applyFont="1"/>
    <xf numFmtId="180" fontId="1" fillId="0" borderId="0" xfId="0" applyNumberFormat="1" applyFont="1"/>
    <xf numFmtId="180" fontId="24" fillId="0" borderId="3" xfId="0" applyNumberFormat="1" applyFont="1" applyBorder="1" applyAlignment="1">
      <alignment horizontal="center" vertical="center" shrinkToFit="1"/>
    </xf>
    <xf numFmtId="0" fontId="6" fillId="9" borderId="3" xfId="0" applyFont="1" applyFill="1" applyBorder="1" applyAlignment="1">
      <alignment horizontal="left" vertical="center" wrapText="1"/>
    </xf>
    <xf numFmtId="49" fontId="2" fillId="9" borderId="3" xfId="0" applyNumberFormat="1" applyFont="1" applyFill="1" applyBorder="1" applyAlignment="1">
      <alignment horizontal="center" vertical="center"/>
    </xf>
    <xf numFmtId="180" fontId="56" fillId="9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180" fontId="52" fillId="0" borderId="3" xfId="0" applyNumberFormat="1" applyFont="1" applyBorder="1" applyAlignment="1">
      <alignment horizontal="center" vertical="center"/>
    </xf>
    <xf numFmtId="180" fontId="52" fillId="9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wrapText="1"/>
    </xf>
    <xf numFmtId="180" fontId="52" fillId="0" borderId="14" xfId="0" applyNumberFormat="1" applyFont="1" applyBorder="1" applyAlignment="1">
      <alignment horizontal="center" vertical="center"/>
    </xf>
    <xf numFmtId="0" fontId="60" fillId="0" borderId="0" xfId="0" applyFont="1" applyAlignment="1">
      <alignment vertical="center"/>
    </xf>
    <xf numFmtId="0" fontId="34" fillId="0" borderId="3" xfId="0" applyFont="1" applyBorder="1" applyAlignment="1">
      <alignment horizontal="left" vertical="center" wrapText="1"/>
    </xf>
    <xf numFmtId="180" fontId="52" fillId="0" borderId="3" xfId="0" applyNumberFormat="1" applyFont="1" applyBorder="1" applyAlignment="1">
      <alignment horizontal="center" vertical="center" wrapText="1"/>
    </xf>
    <xf numFmtId="180" fontId="52" fillId="0" borderId="1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180" fontId="52" fillId="0" borderId="3" xfId="0" applyNumberFormat="1" applyFont="1" applyBorder="1" applyAlignment="1">
      <alignment horizontal="center"/>
    </xf>
    <xf numFmtId="0" fontId="34" fillId="0" borderId="8" xfId="0" applyFont="1" applyBorder="1" applyAlignment="1">
      <alignment horizontal="left" vertical="center" wrapText="1"/>
    </xf>
    <xf numFmtId="180" fontId="52" fillId="0" borderId="8" xfId="0" applyNumberFormat="1" applyFont="1" applyBorder="1" applyAlignment="1">
      <alignment horizontal="center" vertical="center"/>
    </xf>
    <xf numFmtId="180" fontId="52" fillId="9" borderId="8" xfId="0" applyNumberFormat="1" applyFont="1" applyFill="1" applyBorder="1" applyAlignment="1">
      <alignment horizontal="center" vertical="center"/>
    </xf>
    <xf numFmtId="180" fontId="52" fillId="0" borderId="14" xfId="0" applyNumberFormat="1" applyFont="1" applyBorder="1" applyAlignment="1">
      <alignment horizontal="center"/>
    </xf>
    <xf numFmtId="0" fontId="34" fillId="0" borderId="8" xfId="0" applyFont="1" applyBorder="1" applyAlignment="1">
      <alignment horizontal="left" wrapText="1"/>
    </xf>
    <xf numFmtId="0" fontId="2" fillId="0" borderId="3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180" fontId="56" fillId="0" borderId="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2" fillId="9" borderId="7" xfId="0" applyFont="1" applyFill="1" applyBorder="1" applyAlignment="1">
      <alignment horizontal="left" vertical="center" wrapText="1"/>
    </xf>
    <xf numFmtId="49" fontId="2" fillId="9" borderId="7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left" vertical="center"/>
    </xf>
    <xf numFmtId="49" fontId="2" fillId="10" borderId="4" xfId="0" applyNumberFormat="1" applyFont="1" applyFill="1" applyBorder="1" applyAlignment="1">
      <alignment horizontal="left" vertical="center"/>
    </xf>
    <xf numFmtId="180" fontId="56" fillId="10" borderId="4" xfId="0" applyNumberFormat="1" applyFont="1" applyFill="1" applyBorder="1" applyAlignment="1">
      <alignment horizontal="left" vertical="center"/>
    </xf>
    <xf numFmtId="180" fontId="56" fillId="10" borderId="4" xfId="0" applyNumberFormat="1" applyFont="1" applyFill="1" applyBorder="1" applyAlignment="1">
      <alignment horizontal="center" vertical="center"/>
    </xf>
    <xf numFmtId="180" fontId="56" fillId="10" borderId="2" xfId="0" applyNumberFormat="1" applyFont="1" applyFill="1" applyBorder="1" applyAlignment="1">
      <alignment horizontal="left" vertical="center"/>
    </xf>
    <xf numFmtId="0" fontId="2" fillId="9" borderId="8" xfId="0" applyFont="1" applyFill="1" applyBorder="1" applyAlignment="1">
      <alignment horizontal="left" vertical="center" wrapText="1"/>
    </xf>
    <xf numFmtId="49" fontId="2" fillId="9" borderId="8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left" vertical="center" wrapText="1"/>
    </xf>
    <xf numFmtId="181" fontId="52" fillId="9" borderId="3" xfId="0" applyNumberFormat="1" applyFont="1" applyFill="1" applyBorder="1" applyAlignment="1">
      <alignment horizontal="center" vertical="center"/>
    </xf>
    <xf numFmtId="182" fontId="56" fillId="9" borderId="3" xfId="0" applyNumberFormat="1" applyFont="1" applyFill="1" applyBorder="1" applyAlignment="1">
      <alignment horizontal="center" vertical="center"/>
    </xf>
    <xf numFmtId="176" fontId="56" fillId="9" borderId="3" xfId="0" applyNumberFormat="1" applyFont="1" applyFill="1" applyBorder="1" applyAlignment="1">
      <alignment horizontal="center" vertical="center"/>
    </xf>
    <xf numFmtId="172" fontId="56" fillId="9" borderId="3" xfId="0" applyNumberFormat="1" applyFont="1" applyFill="1" applyBorder="1" applyAlignment="1">
      <alignment horizontal="center" vertical="center"/>
    </xf>
    <xf numFmtId="180" fontId="56" fillId="4" borderId="8" xfId="0" applyNumberFormat="1" applyFont="1" applyFill="1" applyBorder="1" applyAlignment="1">
      <alignment horizontal="center" vertical="center"/>
    </xf>
    <xf numFmtId="180" fontId="52" fillId="4" borderId="3" xfId="0" applyNumberFormat="1" applyFont="1" applyFill="1" applyBorder="1" applyAlignment="1">
      <alignment horizontal="center" vertical="center"/>
    </xf>
    <xf numFmtId="180" fontId="52" fillId="4" borderId="14" xfId="0" applyNumberFormat="1" applyFont="1" applyFill="1" applyBorder="1" applyAlignment="1">
      <alignment horizontal="center" vertical="center"/>
    </xf>
    <xf numFmtId="180" fontId="56" fillId="4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183" fontId="6" fillId="0" borderId="0" xfId="0" applyNumberFormat="1" applyFont="1" applyAlignment="1">
      <alignment horizontal="right" vertical="center"/>
    </xf>
    <xf numFmtId="180" fontId="3" fillId="0" borderId="0" xfId="0" applyNumberFormat="1" applyFont="1" applyAlignment="1">
      <alignment vertical="center"/>
    </xf>
    <xf numFmtId="180" fontId="2" fillId="0" borderId="0" xfId="0" applyNumberFormat="1" applyFont="1" applyAlignment="1">
      <alignment horizontal="center"/>
    </xf>
    <xf numFmtId="180" fontId="61" fillId="0" borderId="0" xfId="0" applyNumberFormat="1" applyFont="1"/>
    <xf numFmtId="180" fontId="38" fillId="0" borderId="0" xfId="0" applyNumberFormat="1" applyFont="1" applyAlignment="1">
      <alignment horizontal="center" vertical="center"/>
    </xf>
    <xf numFmtId="180" fontId="38" fillId="0" borderId="0" xfId="0" applyNumberFormat="1" applyFont="1" applyAlignment="1">
      <alignment horizontal="center"/>
    </xf>
    <xf numFmtId="180" fontId="2" fillId="0" borderId="0" xfId="0" applyNumberFormat="1" applyFont="1"/>
    <xf numFmtId="180" fontId="58" fillId="0" borderId="0" xfId="0" applyNumberFormat="1" applyFont="1"/>
    <xf numFmtId="180" fontId="4" fillId="0" borderId="0" xfId="0" applyNumberFormat="1" applyFont="1"/>
    <xf numFmtId="180" fontId="3" fillId="0" borderId="0" xfId="0" applyNumberFormat="1" applyFont="1"/>
    <xf numFmtId="0" fontId="63" fillId="0" borderId="3" xfId="0" applyFont="1" applyBorder="1" applyAlignment="1">
      <alignment horizontal="center" vertical="center" wrapText="1"/>
    </xf>
    <xf numFmtId="0" fontId="63" fillId="0" borderId="3" xfId="0" applyFont="1" applyBorder="1" applyAlignment="1">
      <alignment horizontal="left" vertical="center" wrapText="1"/>
    </xf>
    <xf numFmtId="165" fontId="63" fillId="0" borderId="3" xfId="0" applyNumberFormat="1" applyFont="1" applyBorder="1" applyAlignment="1">
      <alignment horizontal="center" vertical="center" wrapText="1"/>
    </xf>
    <xf numFmtId="164" fontId="63" fillId="0" borderId="3" xfId="0" applyNumberFormat="1" applyFont="1" applyBorder="1" applyAlignment="1">
      <alignment horizontal="center" vertical="center" wrapText="1"/>
    </xf>
    <xf numFmtId="164" fontId="63" fillId="0" borderId="3" xfId="0" applyNumberFormat="1" applyFont="1" applyBorder="1" applyAlignment="1">
      <alignment horizontal="right" vertical="center" wrapText="1"/>
    </xf>
    <xf numFmtId="165" fontId="63" fillId="0" borderId="3" xfId="0" applyNumberFormat="1" applyFont="1" applyBorder="1" applyAlignment="1">
      <alignment horizontal="right" vertical="center" wrapText="1"/>
    </xf>
    <xf numFmtId="164" fontId="4" fillId="0" borderId="0" xfId="0" applyNumberFormat="1" applyFont="1" applyAlignment="1">
      <alignment horizontal="center" vertical="center" wrapText="1"/>
    </xf>
    <xf numFmtId="0" fontId="64" fillId="0" borderId="3" xfId="0" applyFont="1" applyBorder="1" applyAlignment="1">
      <alignment horizontal="left" vertical="center" wrapText="1"/>
    </xf>
    <xf numFmtId="184" fontId="63" fillId="0" borderId="3" xfId="0" applyNumberFormat="1" applyFont="1" applyBorder="1" applyAlignment="1">
      <alignment horizontal="center" vertical="center" wrapText="1"/>
    </xf>
    <xf numFmtId="0" fontId="52" fillId="0" borderId="3" xfId="0" applyFont="1" applyBorder="1" applyAlignment="1">
      <alignment horizontal="center" vertical="center" wrapText="1"/>
    </xf>
    <xf numFmtId="0" fontId="64" fillId="0" borderId="3" xfId="0" applyFont="1" applyBorder="1" applyAlignment="1">
      <alignment wrapText="1"/>
    </xf>
    <xf numFmtId="49" fontId="63" fillId="0" borderId="3" xfId="0" applyNumberFormat="1" applyFont="1" applyBorder="1" applyAlignment="1">
      <alignment horizontal="center" vertical="center" wrapText="1"/>
    </xf>
    <xf numFmtId="164" fontId="52" fillId="0" borderId="3" xfId="0" applyNumberFormat="1" applyFont="1" applyBorder="1" applyAlignment="1">
      <alignment horizontal="center" vertical="center" wrapText="1"/>
    </xf>
    <xf numFmtId="0" fontId="63" fillId="0" borderId="0" xfId="0" applyFont="1" applyAlignment="1">
      <alignment horizontal="center" vertical="center" wrapText="1"/>
    </xf>
    <xf numFmtId="0" fontId="63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left"/>
    </xf>
    <xf numFmtId="0" fontId="63" fillId="0" borderId="0" xfId="0" applyFont="1"/>
    <xf numFmtId="0" fontId="65" fillId="0" borderId="0" xfId="0" applyFont="1"/>
    <xf numFmtId="185" fontId="62" fillId="0" borderId="0" xfId="0" applyNumberFormat="1" applyFont="1" applyAlignment="1">
      <alignment horizontal="center" vertical="center" wrapText="1"/>
    </xf>
    <xf numFmtId="1" fontId="66" fillId="0" borderId="0" xfId="0" applyNumberFormat="1" applyFont="1" applyAlignment="1">
      <alignment horizontal="center" vertical="center" wrapText="1"/>
    </xf>
    <xf numFmtId="0" fontId="6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52" fillId="0" borderId="3" xfId="0" applyFont="1" applyBorder="1" applyAlignment="1">
      <alignment horizontal="center" wrapText="1"/>
    </xf>
    <xf numFmtId="0" fontId="52" fillId="11" borderId="3" xfId="0" applyFont="1" applyFill="1" applyBorder="1" applyAlignment="1">
      <alignment horizontal="center" wrapText="1"/>
    </xf>
    <xf numFmtId="0" fontId="56" fillId="0" borderId="3" xfId="0" applyFont="1" applyBorder="1"/>
    <xf numFmtId="2" fontId="52" fillId="0" borderId="7" xfId="0" applyNumberFormat="1" applyFont="1" applyBorder="1"/>
    <xf numFmtId="1" fontId="56" fillId="0" borderId="8" xfId="0" applyNumberFormat="1" applyFont="1" applyBorder="1" applyAlignment="1">
      <alignment horizontal="center"/>
    </xf>
    <xf numFmtId="2" fontId="52" fillId="0" borderId="8" xfId="0" applyNumberFormat="1" applyFont="1" applyBorder="1" applyAlignment="1">
      <alignment horizontal="center"/>
    </xf>
    <xf numFmtId="1" fontId="52" fillId="0" borderId="8" xfId="0" applyNumberFormat="1" applyFont="1" applyBorder="1" applyAlignment="1">
      <alignment horizontal="center" wrapText="1"/>
    </xf>
    <xf numFmtId="1" fontId="0" fillId="0" borderId="0" xfId="0" applyNumberFormat="1"/>
    <xf numFmtId="0" fontId="52" fillId="0" borderId="3" xfId="0" applyFont="1" applyBorder="1"/>
    <xf numFmtId="1" fontId="56" fillId="0" borderId="3" xfId="0" applyNumberFormat="1" applyFont="1" applyBorder="1" applyAlignment="1">
      <alignment horizontal="center"/>
    </xf>
    <xf numFmtId="1" fontId="52" fillId="0" borderId="8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70" fillId="0" borderId="16" xfId="0" applyFont="1" applyBorder="1" applyAlignment="1">
      <alignment vertical="center" wrapText="1"/>
    </xf>
    <xf numFmtId="0" fontId="52" fillId="11" borderId="7" xfId="0" applyFont="1" applyFill="1" applyBorder="1" applyAlignment="1">
      <alignment horizontal="center" wrapText="1"/>
    </xf>
    <xf numFmtId="0" fontId="52" fillId="0" borderId="7" xfId="0" applyFont="1" applyBorder="1"/>
    <xf numFmtId="0" fontId="3" fillId="0" borderId="5" xfId="0" applyFont="1" applyBorder="1" applyAlignment="1">
      <alignment wrapText="1"/>
    </xf>
    <xf numFmtId="0" fontId="52" fillId="0" borderId="7" xfId="0" applyFont="1" applyBorder="1" applyAlignment="1">
      <alignment horizontal="center" wrapText="1"/>
    </xf>
    <xf numFmtId="1" fontId="52" fillId="0" borderId="18" xfId="0" applyNumberFormat="1" applyFont="1" applyBorder="1" applyAlignment="1">
      <alignment horizontal="center"/>
    </xf>
    <xf numFmtId="1" fontId="56" fillId="0" borderId="18" xfId="0" applyNumberFormat="1" applyFont="1" applyBorder="1" applyAlignment="1">
      <alignment horizontal="center"/>
    </xf>
    <xf numFmtId="1" fontId="52" fillId="0" borderId="19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" fontId="3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wrapText="1"/>
    </xf>
    <xf numFmtId="1" fontId="3" fillId="0" borderId="0" xfId="0" applyNumberFormat="1" applyFont="1"/>
    <xf numFmtId="1" fontId="68" fillId="0" borderId="0" xfId="0" applyNumberFormat="1" applyFont="1"/>
    <xf numFmtId="0" fontId="0" fillId="0" borderId="0" xfId="0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52" fillId="0" borderId="0" xfId="0" applyFont="1"/>
    <xf numFmtId="169" fontId="0" fillId="0" borderId="0" xfId="0" applyNumberFormat="1"/>
    <xf numFmtId="0" fontId="56" fillId="0" borderId="24" xfId="0" applyFont="1" applyBorder="1" applyAlignment="1">
      <alignment horizontal="center" vertical="center" wrapText="1"/>
    </xf>
    <xf numFmtId="0" fontId="56" fillId="0" borderId="28" xfId="0" applyFont="1" applyBorder="1" applyAlignment="1">
      <alignment horizontal="center" vertical="center" wrapText="1"/>
    </xf>
    <xf numFmtId="0" fontId="56" fillId="0" borderId="29" xfId="0" applyFont="1" applyBorder="1" applyAlignment="1">
      <alignment horizontal="center" vertical="center" wrapText="1"/>
    </xf>
    <xf numFmtId="0" fontId="71" fillId="0" borderId="29" xfId="0" applyFont="1" applyBorder="1" applyAlignment="1">
      <alignment horizontal="center" vertical="center" wrapText="1"/>
    </xf>
    <xf numFmtId="49" fontId="0" fillId="0" borderId="0" xfId="0" applyNumberFormat="1"/>
    <xf numFmtId="0" fontId="52" fillId="0" borderId="30" xfId="0" applyFont="1" applyBorder="1" applyAlignment="1">
      <alignment horizontal="center" vertical="center"/>
    </xf>
    <xf numFmtId="0" fontId="56" fillId="0" borderId="24" xfId="0" applyFont="1" applyBorder="1"/>
    <xf numFmtId="169" fontId="56" fillId="0" borderId="24" xfId="0" applyNumberFormat="1" applyFont="1" applyBorder="1" applyAlignment="1">
      <alignment horizontal="center" vertical="center"/>
    </xf>
    <xf numFmtId="1" fontId="56" fillId="0" borderId="24" xfId="0" applyNumberFormat="1" applyFont="1" applyBorder="1" applyAlignment="1">
      <alignment horizontal="center" vertical="center"/>
    </xf>
    <xf numFmtId="9" fontId="56" fillId="0" borderId="24" xfId="0" applyNumberFormat="1" applyFont="1" applyBorder="1" applyAlignment="1">
      <alignment horizontal="center" vertical="center"/>
    </xf>
    <xf numFmtId="169" fontId="56" fillId="0" borderId="31" xfId="0" applyNumberFormat="1" applyFont="1" applyBorder="1" applyAlignment="1">
      <alignment horizontal="center" vertical="center"/>
    </xf>
    <xf numFmtId="175" fontId="72" fillId="0" borderId="0" xfId="0" applyNumberFormat="1" applyFont="1"/>
    <xf numFmtId="2" fontId="0" fillId="0" borderId="0" xfId="0" applyNumberFormat="1"/>
    <xf numFmtId="2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73" fillId="9" borderId="0" xfId="0" applyFont="1" applyFill="1"/>
    <xf numFmtId="0" fontId="73" fillId="9" borderId="24" xfId="0" applyFont="1" applyFill="1" applyBorder="1" applyAlignment="1">
      <alignment horizontal="center" vertical="center"/>
    </xf>
    <xf numFmtId="169" fontId="73" fillId="9" borderId="24" xfId="0" applyNumberFormat="1" applyFont="1" applyFill="1" applyBorder="1" applyAlignment="1">
      <alignment horizontal="center" vertical="center"/>
    </xf>
    <xf numFmtId="187" fontId="73" fillId="9" borderId="24" xfId="0" applyNumberFormat="1" applyFont="1" applyFill="1" applyBorder="1" applyAlignment="1">
      <alignment horizontal="center" vertical="center"/>
    </xf>
    <xf numFmtId="2" fontId="73" fillId="9" borderId="24" xfId="0" applyNumberFormat="1" applyFont="1" applyFill="1" applyBorder="1" applyAlignment="1">
      <alignment horizontal="center" vertical="center"/>
    </xf>
    <xf numFmtId="169" fontId="73" fillId="10" borderId="31" xfId="0" applyNumberFormat="1" applyFont="1" applyFill="1" applyBorder="1" applyAlignment="1">
      <alignment horizontal="center" vertical="center"/>
    </xf>
    <xf numFmtId="175" fontId="0" fillId="0" borderId="0" xfId="0" applyNumberFormat="1" applyAlignment="1">
      <alignment horizontal="center"/>
    </xf>
    <xf numFmtId="169" fontId="74" fillId="0" borderId="3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5" fillId="0" borderId="3" xfId="0" applyFont="1" applyBorder="1" applyAlignment="1">
      <alignment horizontal="center" vertical="center"/>
    </xf>
    <xf numFmtId="0" fontId="76" fillId="0" borderId="0" xfId="0" applyFont="1" applyAlignment="1">
      <alignment horizontal="center"/>
    </xf>
    <xf numFmtId="0" fontId="52" fillId="9" borderId="24" xfId="0" applyFont="1" applyFill="1" applyBorder="1"/>
    <xf numFmtId="0" fontId="52" fillId="9" borderId="24" xfId="0" applyFont="1" applyFill="1" applyBorder="1" applyAlignment="1">
      <alignment horizontal="center" vertical="center"/>
    </xf>
    <xf numFmtId="169" fontId="52" fillId="9" borderId="24" xfId="0" applyNumberFormat="1" applyFont="1" applyFill="1" applyBorder="1" applyAlignment="1">
      <alignment horizontal="center" vertical="center"/>
    </xf>
    <xf numFmtId="187" fontId="52" fillId="9" borderId="24" xfId="0" applyNumberFormat="1" applyFont="1" applyFill="1" applyBorder="1" applyAlignment="1">
      <alignment horizontal="center" vertical="center"/>
    </xf>
    <xf numFmtId="2" fontId="52" fillId="9" borderId="24" xfId="0" applyNumberFormat="1" applyFont="1" applyFill="1" applyBorder="1" applyAlignment="1">
      <alignment horizontal="center" vertical="center"/>
    </xf>
    <xf numFmtId="175" fontId="77" fillId="0" borderId="0" xfId="0" applyNumberFormat="1" applyFont="1" applyAlignment="1">
      <alignment horizontal="center"/>
    </xf>
    <xf numFmtId="175" fontId="74" fillId="12" borderId="3" xfId="0" applyNumberFormat="1" applyFont="1" applyFill="1" applyBorder="1" applyAlignment="1">
      <alignment horizontal="center" vertical="center"/>
    </xf>
    <xf numFmtId="175" fontId="74" fillId="10" borderId="3" xfId="0" applyNumberFormat="1" applyFont="1" applyFill="1" applyBorder="1" applyAlignment="1">
      <alignment horizontal="center" vertical="center"/>
    </xf>
    <xf numFmtId="175" fontId="74" fillId="2" borderId="3" xfId="0" applyNumberFormat="1" applyFont="1" applyFill="1" applyBorder="1" applyAlignment="1">
      <alignment horizontal="center" vertical="center"/>
    </xf>
    <xf numFmtId="175" fontId="78" fillId="0" borderId="3" xfId="0" applyNumberFormat="1" applyFont="1" applyBorder="1" applyAlignment="1">
      <alignment horizontal="center" vertical="center"/>
    </xf>
    <xf numFmtId="0" fontId="77" fillId="0" borderId="0" xfId="0" applyFont="1" applyAlignment="1">
      <alignment horizontal="center"/>
    </xf>
    <xf numFmtId="2" fontId="77" fillId="0" borderId="0" xfId="0" applyNumberFormat="1" applyFont="1" applyAlignment="1">
      <alignment horizontal="center"/>
    </xf>
    <xf numFmtId="169" fontId="77" fillId="0" borderId="0" xfId="0" applyNumberFormat="1" applyFont="1" applyAlignment="1">
      <alignment horizontal="center"/>
    </xf>
    <xf numFmtId="169" fontId="79" fillId="0" borderId="0" xfId="0" applyNumberFormat="1" applyFont="1" applyAlignment="1">
      <alignment horizontal="center" vertical="top"/>
    </xf>
    <xf numFmtId="0" fontId="35" fillId="9" borderId="24" xfId="0" applyFont="1" applyFill="1" applyBorder="1" applyAlignment="1">
      <alignment wrapText="1"/>
    </xf>
    <xf numFmtId="1" fontId="77" fillId="0" borderId="0" xfId="0" applyNumberFormat="1" applyFont="1" applyAlignment="1">
      <alignment horizontal="center"/>
    </xf>
    <xf numFmtId="0" fontId="80" fillId="9" borderId="24" xfId="0" applyFont="1" applyFill="1" applyBorder="1" applyAlignment="1">
      <alignment wrapText="1"/>
    </xf>
    <xf numFmtId="0" fontId="63" fillId="9" borderId="24" xfId="0" applyFont="1" applyFill="1" applyBorder="1" applyAlignment="1">
      <alignment horizontal="center" vertical="center"/>
    </xf>
    <xf numFmtId="169" fontId="63" fillId="9" borderId="24" xfId="0" applyNumberFormat="1" applyFont="1" applyFill="1" applyBorder="1" applyAlignment="1">
      <alignment horizontal="center" vertical="center"/>
    </xf>
    <xf numFmtId="187" fontId="63" fillId="9" borderId="24" xfId="0" applyNumberFormat="1" applyFont="1" applyFill="1" applyBorder="1" applyAlignment="1">
      <alignment horizontal="center" vertical="center"/>
    </xf>
    <xf numFmtId="0" fontId="80" fillId="9" borderId="32" xfId="0" applyFont="1" applyFill="1" applyBorder="1" applyAlignment="1">
      <alignment wrapText="1"/>
    </xf>
    <xf numFmtId="0" fontId="63" fillId="9" borderId="32" xfId="0" applyFont="1" applyFill="1" applyBorder="1" applyAlignment="1">
      <alignment horizontal="center" vertical="center"/>
    </xf>
    <xf numFmtId="169" fontId="63" fillId="9" borderId="32" xfId="0" applyNumberFormat="1" applyFont="1" applyFill="1" applyBorder="1" applyAlignment="1">
      <alignment horizontal="center" vertical="center"/>
    </xf>
    <xf numFmtId="187" fontId="63" fillId="9" borderId="32" xfId="0" applyNumberFormat="1" applyFont="1" applyFill="1" applyBorder="1" applyAlignment="1">
      <alignment horizontal="center" vertical="center"/>
    </xf>
    <xf numFmtId="2" fontId="63" fillId="9" borderId="32" xfId="0" applyNumberFormat="1" applyFont="1" applyFill="1" applyBorder="1" applyAlignment="1">
      <alignment horizontal="center" vertical="center"/>
    </xf>
    <xf numFmtId="0" fontId="63" fillId="0" borderId="0" xfId="0" applyFont="1" applyAlignment="1">
      <alignment horizontal="left" wrapText="1"/>
    </xf>
    <xf numFmtId="0" fontId="81" fillId="0" borderId="0" xfId="0" applyFont="1"/>
    <xf numFmtId="177" fontId="4" fillId="0" borderId="0" xfId="0" applyNumberFormat="1" applyFont="1" applyAlignment="1">
      <alignment horizontal="center" vertical="center" wrapText="1"/>
    </xf>
    <xf numFmtId="0" fontId="84" fillId="0" borderId="0" xfId="0" applyFont="1"/>
    <xf numFmtId="177" fontId="6" fillId="0" borderId="0" xfId="0" applyNumberFormat="1" applyFont="1" applyAlignment="1">
      <alignment vertical="center" wrapText="1"/>
    </xf>
    <xf numFmtId="175" fontId="6" fillId="0" borderId="0" xfId="0" applyNumberFormat="1" applyFont="1" applyAlignment="1">
      <alignment vertical="center" wrapText="1"/>
    </xf>
    <xf numFmtId="179" fontId="4" fillId="0" borderId="0" xfId="0" applyNumberFormat="1" applyFont="1" applyAlignment="1">
      <alignment horizontal="center" vertical="center" wrapText="1"/>
    </xf>
    <xf numFmtId="169" fontId="6" fillId="0" borderId="0" xfId="0" applyNumberFormat="1" applyFont="1" applyAlignment="1">
      <alignment vertical="center"/>
    </xf>
    <xf numFmtId="177" fontId="6" fillId="0" borderId="0" xfId="0" applyNumberFormat="1" applyFont="1" applyAlignment="1">
      <alignment horizontal="center" vertical="center" wrapText="1"/>
    </xf>
    <xf numFmtId="169" fontId="1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vertical="center" wrapText="1"/>
    </xf>
    <xf numFmtId="178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0" fontId="85" fillId="0" borderId="0" xfId="0" applyFont="1"/>
    <xf numFmtId="0" fontId="78" fillId="0" borderId="0" xfId="0" applyFont="1" applyAlignment="1">
      <alignment horizontal="left" vertical="center"/>
    </xf>
    <xf numFmtId="0" fontId="78" fillId="0" borderId="0" xfId="0" applyFont="1" applyAlignment="1">
      <alignment horizontal="left" vertical="center" wrapText="1"/>
    </xf>
    <xf numFmtId="0" fontId="13" fillId="0" borderId="3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shrinkToFit="1"/>
    </xf>
    <xf numFmtId="176" fontId="13" fillId="9" borderId="3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7" fillId="0" borderId="0" xfId="0" applyFont="1" applyAlignment="1">
      <alignment vertical="center"/>
    </xf>
    <xf numFmtId="188" fontId="13" fillId="0" borderId="3" xfId="0" applyNumberFormat="1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left" vertical="center" shrinkToFit="1"/>
    </xf>
    <xf numFmtId="0" fontId="79" fillId="0" borderId="0" xfId="0" applyFont="1" applyAlignment="1">
      <alignment horizontal="left" vertical="center"/>
    </xf>
    <xf numFmtId="188" fontId="13" fillId="0" borderId="3" xfId="0" applyNumberFormat="1" applyFont="1" applyBorder="1" applyAlignment="1">
      <alignment horizontal="center" vertical="center" wrapText="1"/>
    </xf>
    <xf numFmtId="188" fontId="13" fillId="0" borderId="3" xfId="0" applyNumberFormat="1" applyFont="1" applyBorder="1" applyAlignment="1">
      <alignment horizontal="left" vertical="center" wrapText="1"/>
    </xf>
    <xf numFmtId="169" fontId="13" fillId="9" borderId="3" xfId="0" applyNumberFormat="1" applyFont="1" applyFill="1" applyBorder="1" applyAlignment="1">
      <alignment horizontal="center" vertical="center" wrapText="1"/>
    </xf>
    <xf numFmtId="169" fontId="13" fillId="0" borderId="3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77" fontId="13" fillId="0" borderId="3" xfId="0" applyNumberFormat="1" applyFont="1" applyBorder="1" applyAlignment="1">
      <alignment vertical="center" wrapText="1"/>
    </xf>
    <xf numFmtId="177" fontId="13" fillId="9" borderId="3" xfId="0" applyNumberFormat="1" applyFont="1" applyFill="1" applyBorder="1" applyAlignment="1">
      <alignment vertical="center" wrapText="1"/>
    </xf>
    <xf numFmtId="177" fontId="13" fillId="9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76" fillId="0" borderId="0" xfId="0" applyFont="1"/>
    <xf numFmtId="0" fontId="76" fillId="0" borderId="0" xfId="0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188" fontId="80" fillId="0" borderId="3" xfId="0" applyNumberFormat="1" applyFont="1" applyBorder="1" applyAlignment="1">
      <alignment horizontal="center" vertical="center" wrapText="1"/>
    </xf>
    <xf numFmtId="188" fontId="80" fillId="0" borderId="3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188" fontId="4" fillId="0" borderId="3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shrinkToFit="1"/>
    </xf>
    <xf numFmtId="0" fontId="9" fillId="0" borderId="0" xfId="0" applyFont="1" applyAlignment="1">
      <alignment vertical="center" wrapText="1"/>
    </xf>
    <xf numFmtId="0" fontId="77" fillId="0" borderId="0" xfId="0" applyFont="1" applyAlignment="1">
      <alignment horizontal="left" vertical="center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right" wrapText="1"/>
    </xf>
    <xf numFmtId="0" fontId="9" fillId="0" borderId="3" xfId="0" applyFont="1" applyBorder="1" applyAlignment="1">
      <alignment horizontal="center"/>
    </xf>
    <xf numFmtId="0" fontId="9" fillId="0" borderId="3" xfId="0" applyFont="1" applyBorder="1"/>
    <xf numFmtId="0" fontId="88" fillId="0" borderId="0" xfId="0" applyFont="1"/>
    <xf numFmtId="0" fontId="88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73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89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69" fontId="6" fillId="0" borderId="16" xfId="0" applyNumberFormat="1" applyFont="1" applyBorder="1" applyAlignment="1">
      <alignment horizontal="right" vertical="center" wrapText="1"/>
    </xf>
    <xf numFmtId="169" fontId="4" fillId="0" borderId="16" xfId="0" applyNumberFormat="1" applyFont="1" applyBorder="1" applyAlignment="1">
      <alignment horizontal="righ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right" vertical="center" wrapText="1"/>
    </xf>
    <xf numFmtId="0" fontId="6" fillId="0" borderId="16" xfId="0" applyFont="1" applyBorder="1" applyAlignment="1">
      <alignment horizontal="right" vertical="center" wrapText="1"/>
    </xf>
    <xf numFmtId="0" fontId="4" fillId="0" borderId="16" xfId="0" applyFont="1" applyBorder="1" applyAlignment="1">
      <alignment horizontal="right" vertical="center" wrapText="1"/>
    </xf>
    <xf numFmtId="169" fontId="4" fillId="0" borderId="16" xfId="0" applyNumberFormat="1" applyFont="1" applyBorder="1" applyAlignment="1">
      <alignment horizontal="center" vertical="center" wrapText="1"/>
    </xf>
    <xf numFmtId="169" fontId="6" fillId="13" borderId="16" xfId="0" applyNumberFormat="1" applyFont="1" applyFill="1" applyBorder="1" applyAlignment="1">
      <alignment horizontal="right" vertical="center" wrapText="1"/>
    </xf>
    <xf numFmtId="0" fontId="91" fillId="0" borderId="0" xfId="0" applyFont="1" applyAlignment="1">
      <alignment horizontal="left"/>
    </xf>
    <xf numFmtId="0" fontId="9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2" fillId="14" borderId="0" xfId="0" applyFont="1" applyFill="1"/>
    <xf numFmtId="0" fontId="72" fillId="14" borderId="0" xfId="0" applyFont="1" applyFill="1" applyAlignment="1">
      <alignment wrapText="1"/>
    </xf>
    <xf numFmtId="0" fontId="72" fillId="14" borderId="0" xfId="0" applyFont="1" applyFill="1" applyAlignment="1">
      <alignment horizontal="center" wrapText="1"/>
    </xf>
    <xf numFmtId="0" fontId="91" fillId="0" borderId="0" xfId="0" applyFont="1" applyAlignment="1">
      <alignment wrapText="1"/>
    </xf>
    <xf numFmtId="0" fontId="78" fillId="14" borderId="35" xfId="0" applyFont="1" applyFill="1" applyBorder="1" applyAlignment="1">
      <alignment vertical="top"/>
    </xf>
    <xf numFmtId="0" fontId="78" fillId="14" borderId="35" xfId="0" applyFont="1" applyFill="1" applyBorder="1" applyAlignment="1">
      <alignment horizontal="right" vertical="top"/>
    </xf>
    <xf numFmtId="0" fontId="78" fillId="14" borderId="0" xfId="0" applyFont="1" applyFill="1" applyAlignment="1">
      <alignment horizontal="right" vertical="top"/>
    </xf>
    <xf numFmtId="0" fontId="13" fillId="15" borderId="0" xfId="0" applyFont="1" applyFill="1"/>
    <xf numFmtId="0" fontId="78" fillId="15" borderId="35" xfId="0" applyFont="1" applyFill="1" applyBorder="1" applyAlignment="1">
      <alignment horizontal="right" vertical="top"/>
    </xf>
    <xf numFmtId="0" fontId="78" fillId="15" borderId="0" xfId="0" applyFont="1" applyFill="1" applyAlignment="1">
      <alignment horizontal="center"/>
    </xf>
    <xf numFmtId="0" fontId="78" fillId="0" borderId="36" xfId="0" applyFont="1" applyBorder="1" applyAlignment="1">
      <alignment horizontal="left" vertical="center" wrapText="1"/>
    </xf>
    <xf numFmtId="0" fontId="9" fillId="15" borderId="0" xfId="0" applyFont="1" applyFill="1"/>
    <xf numFmtId="175" fontId="9" fillId="0" borderId="0" xfId="0" applyNumberFormat="1" applyFont="1"/>
    <xf numFmtId="0" fontId="91" fillId="15" borderId="0" xfId="0" applyFont="1" applyFill="1" applyAlignment="1">
      <alignment horizontal="center"/>
    </xf>
    <xf numFmtId="0" fontId="77" fillId="0" borderId="0" xfId="0" applyFont="1"/>
    <xf numFmtId="0" fontId="77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0" fontId="4" fillId="0" borderId="8" xfId="0" applyFont="1" applyBorder="1" applyAlignment="1">
      <alignment wrapText="1"/>
    </xf>
    <xf numFmtId="169" fontId="4" fillId="0" borderId="14" xfId="0" applyNumberFormat="1" applyFont="1" applyBorder="1" applyAlignment="1">
      <alignment horizontal="center"/>
    </xf>
    <xf numFmtId="171" fontId="4" fillId="0" borderId="14" xfId="0" applyNumberFormat="1" applyFont="1" applyBorder="1" applyAlignment="1">
      <alignment horizontal="center"/>
    </xf>
    <xf numFmtId="0" fontId="92" fillId="0" borderId="0" xfId="0" applyFont="1"/>
    <xf numFmtId="0" fontId="93" fillId="0" borderId="0" xfId="0" applyFont="1"/>
    <xf numFmtId="0" fontId="93" fillId="0" borderId="0" xfId="0" applyFont="1" applyAlignment="1">
      <alignment wrapText="1"/>
    </xf>
    <xf numFmtId="0" fontId="93" fillId="0" borderId="0" xfId="0" applyFont="1" applyAlignment="1">
      <alignment horizontal="center" wrapText="1"/>
    </xf>
    <xf numFmtId="0" fontId="93" fillId="0" borderId="0" xfId="0" applyFont="1" applyAlignment="1">
      <alignment horizontal="center"/>
    </xf>
    <xf numFmtId="0" fontId="94" fillId="0" borderId="0" xfId="0" applyFont="1" applyAlignment="1">
      <alignment horizontal="center"/>
    </xf>
    <xf numFmtId="0" fontId="93" fillId="0" borderId="3" xfId="0" applyFont="1" applyBorder="1" applyAlignment="1">
      <alignment horizontal="center"/>
    </xf>
    <xf numFmtId="0" fontId="93" fillId="0" borderId="1" xfId="0" applyFont="1" applyBorder="1" applyAlignment="1">
      <alignment horizontal="center"/>
    </xf>
    <xf numFmtId="0" fontId="94" fillId="0" borderId="3" xfId="0" applyFont="1" applyBorder="1" applyAlignment="1">
      <alignment horizontal="center" vertical="center" wrapText="1"/>
    </xf>
    <xf numFmtId="0" fontId="94" fillId="0" borderId="7" xfId="0" applyFont="1" applyBorder="1" applyAlignment="1">
      <alignment horizontal="center" vertical="center" wrapText="1"/>
    </xf>
    <xf numFmtId="0" fontId="93" fillId="0" borderId="8" xfId="0" applyFont="1" applyBorder="1" applyAlignment="1">
      <alignment horizontal="center" vertical="center" wrapText="1"/>
    </xf>
    <xf numFmtId="0" fontId="76" fillId="0" borderId="0" xfId="0" applyFont="1" applyAlignment="1">
      <alignment vertical="center"/>
    </xf>
    <xf numFmtId="0" fontId="93" fillId="0" borderId="1" xfId="0" applyFont="1" applyBorder="1" applyAlignment="1">
      <alignment horizontal="center" vertical="center"/>
    </xf>
    <xf numFmtId="0" fontId="93" fillId="0" borderId="3" xfId="0" applyFont="1" applyBorder="1" applyAlignment="1">
      <alignment vertical="center" wrapText="1"/>
    </xf>
    <xf numFmtId="49" fontId="93" fillId="0" borderId="2" xfId="0" applyNumberFormat="1" applyFont="1" applyBorder="1" applyAlignment="1">
      <alignment horizontal="center" vertical="center"/>
    </xf>
    <xf numFmtId="188" fontId="93" fillId="0" borderId="3" xfId="0" applyNumberFormat="1" applyFont="1" applyBorder="1" applyAlignment="1">
      <alignment horizontal="center" vertical="center"/>
    </xf>
    <xf numFmtId="2" fontId="93" fillId="0" borderId="3" xfId="0" applyNumberFormat="1" applyFont="1" applyBorder="1" applyAlignment="1">
      <alignment horizontal="right" vertical="center"/>
    </xf>
    <xf numFmtId="2" fontId="93" fillId="0" borderId="3" xfId="0" applyNumberFormat="1" applyFont="1" applyBorder="1" applyAlignment="1">
      <alignment vertical="center"/>
    </xf>
    <xf numFmtId="0" fontId="93" fillId="0" borderId="2" xfId="0" applyFont="1" applyBorder="1" applyAlignment="1">
      <alignment horizontal="center" vertical="center"/>
    </xf>
    <xf numFmtId="1" fontId="93" fillId="0" borderId="3" xfId="0" applyNumberFormat="1" applyFont="1" applyBorder="1" applyAlignment="1">
      <alignment horizontal="right" vertical="center"/>
    </xf>
    <xf numFmtId="0" fontId="93" fillId="0" borderId="3" xfId="0" applyFont="1" applyBorder="1" applyAlignment="1">
      <alignment horizontal="center" vertical="center"/>
    </xf>
    <xf numFmtId="0" fontId="93" fillId="0" borderId="8" xfId="0" applyFont="1" applyBorder="1" applyAlignment="1">
      <alignment vertical="center" wrapText="1"/>
    </xf>
    <xf numFmtId="49" fontId="93" fillId="0" borderId="3" xfId="0" applyNumberFormat="1" applyFont="1" applyBorder="1" applyAlignment="1">
      <alignment horizontal="center" vertical="center"/>
    </xf>
    <xf numFmtId="2" fontId="95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49" fontId="93" fillId="0" borderId="1" xfId="0" applyNumberFormat="1" applyFont="1" applyBorder="1" applyAlignment="1">
      <alignment horizontal="center" vertical="center"/>
    </xf>
    <xf numFmtId="1" fontId="93" fillId="0" borderId="3" xfId="0" applyNumberFormat="1" applyFont="1" applyBorder="1" applyAlignment="1">
      <alignment vertical="center"/>
    </xf>
    <xf numFmtId="175" fontId="93" fillId="0" borderId="3" xfId="0" applyNumberFormat="1" applyFont="1" applyBorder="1" applyAlignment="1">
      <alignment horizontal="center" vertical="center"/>
    </xf>
    <xf numFmtId="0" fontId="96" fillId="0" borderId="0" xfId="0" applyFont="1" applyAlignment="1">
      <alignment horizontal="center"/>
    </xf>
    <xf numFmtId="183" fontId="93" fillId="0" borderId="0" xfId="0" applyNumberFormat="1" applyFont="1" applyAlignment="1">
      <alignment horizontal="center"/>
    </xf>
    <xf numFmtId="0" fontId="97" fillId="0" borderId="0" xfId="0" applyFont="1"/>
    <xf numFmtId="0" fontId="97" fillId="0" borderId="0" xfId="0" applyFont="1" applyAlignment="1">
      <alignment horizontal="center"/>
    </xf>
    <xf numFmtId="171" fontId="93" fillId="0" borderId="3" xfId="0" applyNumberFormat="1" applyFont="1" applyBorder="1" applyAlignment="1">
      <alignment horizontal="center" vertical="center"/>
    </xf>
    <xf numFmtId="0" fontId="93" fillId="0" borderId="7" xfId="0" applyFont="1" applyBorder="1" applyAlignment="1">
      <alignment vertical="center" wrapText="1"/>
    </xf>
    <xf numFmtId="49" fontId="70" fillId="0" borderId="17" xfId="0" applyNumberFormat="1" applyFont="1" applyBorder="1" applyAlignment="1">
      <alignment horizontal="center" vertical="center"/>
    </xf>
    <xf numFmtId="188" fontId="70" fillId="0" borderId="16" xfId="0" applyNumberFormat="1" applyFont="1" applyBorder="1" applyAlignment="1">
      <alignment horizontal="center" vertical="center"/>
    </xf>
    <xf numFmtId="1" fontId="70" fillId="0" borderId="16" xfId="0" applyNumberFormat="1" applyFont="1" applyBorder="1" applyAlignment="1">
      <alignment horizontal="right" vertical="center"/>
    </xf>
    <xf numFmtId="2" fontId="70" fillId="0" borderId="16" xfId="0" applyNumberFormat="1" applyFont="1" applyBorder="1" applyAlignment="1">
      <alignment vertical="center"/>
    </xf>
    <xf numFmtId="164" fontId="99" fillId="4" borderId="3" xfId="0" applyNumberFormat="1" applyFont="1" applyFill="1" applyBorder="1" applyAlignment="1">
      <alignment horizontal="right" vertical="center" wrapText="1"/>
    </xf>
    <xf numFmtId="0" fontId="100" fillId="0" borderId="3" xfId="0" applyFont="1" applyBorder="1" applyAlignment="1">
      <alignment horizontal="center" vertical="center" wrapText="1"/>
    </xf>
    <xf numFmtId="0" fontId="100" fillId="0" borderId="3" xfId="0" applyFont="1" applyBorder="1" applyAlignment="1">
      <alignment horizontal="center" vertical="center"/>
    </xf>
    <xf numFmtId="0" fontId="101" fillId="0" borderId="3" xfId="0" applyFont="1" applyBorder="1" applyAlignment="1">
      <alignment horizontal="left" vertical="center" wrapText="1"/>
    </xf>
    <xf numFmtId="0" fontId="101" fillId="0" borderId="3" xfId="0" applyFont="1" applyBorder="1" applyAlignment="1">
      <alignment horizontal="left" vertical="center"/>
    </xf>
    <xf numFmtId="175" fontId="100" fillId="0" borderId="3" xfId="0" applyNumberFormat="1" applyFont="1" applyBorder="1" applyAlignment="1">
      <alignment horizontal="center" vertical="center"/>
    </xf>
    <xf numFmtId="0" fontId="100" fillId="0" borderId="3" xfId="0" applyFont="1" applyBorder="1" applyAlignment="1">
      <alignment horizontal="left" vertical="top" wrapText="1"/>
    </xf>
    <xf numFmtId="167" fontId="100" fillId="0" borderId="3" xfId="0" applyNumberFormat="1" applyFont="1" applyBorder="1" applyAlignment="1">
      <alignment horizontal="center" vertical="center" wrapText="1"/>
    </xf>
    <xf numFmtId="49" fontId="100" fillId="0" borderId="3" xfId="0" applyNumberFormat="1" applyFont="1" applyBorder="1" applyAlignment="1">
      <alignment horizontal="left" vertical="center" wrapText="1"/>
    </xf>
    <xf numFmtId="167" fontId="102" fillId="0" borderId="3" xfId="0" applyNumberFormat="1" applyFont="1" applyBorder="1" applyAlignment="1">
      <alignment horizontal="center" vertical="center" wrapText="1"/>
    </xf>
    <xf numFmtId="0" fontId="100" fillId="0" borderId="3" xfId="0" applyFont="1" applyBorder="1" applyAlignment="1">
      <alignment horizontal="left" vertical="center" wrapText="1"/>
    </xf>
    <xf numFmtId="186" fontId="100" fillId="0" borderId="3" xfId="0" applyNumberFormat="1" applyFont="1" applyBorder="1" applyAlignment="1">
      <alignment horizontal="center" vertical="center" wrapText="1"/>
    </xf>
    <xf numFmtId="0" fontId="100" fillId="0" borderId="3" xfId="0" applyFont="1" applyBorder="1" applyAlignment="1">
      <alignment vertical="center" wrapText="1"/>
    </xf>
    <xf numFmtId="167" fontId="100" fillId="0" borderId="3" xfId="0" applyNumberFormat="1" applyFont="1" applyBorder="1" applyAlignment="1">
      <alignment horizontal="center" vertical="center"/>
    </xf>
    <xf numFmtId="167" fontId="102" fillId="0" borderId="3" xfId="0" applyNumberFormat="1" applyFont="1" applyBorder="1" applyAlignment="1">
      <alignment horizontal="center" vertical="center"/>
    </xf>
    <xf numFmtId="0" fontId="100" fillId="0" borderId="0" xfId="0" applyFont="1"/>
    <xf numFmtId="0" fontId="103" fillId="0" borderId="0" xfId="0" applyFont="1" applyAlignment="1">
      <alignment horizontal="center" vertical="center"/>
    </xf>
    <xf numFmtId="0" fontId="100" fillId="0" borderId="0" xfId="0" applyFont="1" applyAlignment="1">
      <alignment horizontal="center" vertical="center"/>
    </xf>
    <xf numFmtId="171" fontId="100" fillId="0" borderId="0" xfId="0" applyNumberFormat="1" applyFont="1" applyAlignment="1">
      <alignment horizontal="center" wrapText="1"/>
    </xf>
    <xf numFmtId="171" fontId="104" fillId="0" borderId="0" xfId="0" applyNumberFormat="1" applyFont="1" applyAlignment="1">
      <alignment horizontal="center" wrapText="1"/>
    </xf>
    <xf numFmtId="0" fontId="105" fillId="0" borderId="0" xfId="0" applyFont="1" applyAlignment="1">
      <alignment horizontal="center" vertical="center"/>
    </xf>
    <xf numFmtId="0" fontId="100" fillId="0" borderId="0" xfId="0" applyFont="1" applyAlignment="1">
      <alignment horizontal="center"/>
    </xf>
    <xf numFmtId="0" fontId="100" fillId="0" borderId="0" xfId="0" applyFont="1" applyAlignment="1">
      <alignment horizontal="left" vertical="center"/>
    </xf>
    <xf numFmtId="0" fontId="106" fillId="0" borderId="0" xfId="0" applyFont="1" applyAlignment="1">
      <alignment horizontal="center" vertical="center"/>
    </xf>
    <xf numFmtId="0" fontId="100" fillId="0" borderId="0" xfId="0" applyFont="1" applyAlignment="1">
      <alignment vertical="center"/>
    </xf>
    <xf numFmtId="0" fontId="100" fillId="0" borderId="0" xfId="0" applyFont="1" applyAlignment="1">
      <alignment horizontal="left"/>
    </xf>
    <xf numFmtId="0" fontId="107" fillId="0" borderId="0" xfId="0" applyFont="1"/>
    <xf numFmtId="0" fontId="101" fillId="0" borderId="0" xfId="0" applyFont="1" applyAlignment="1">
      <alignment horizontal="center" vertical="center"/>
    </xf>
    <xf numFmtId="176" fontId="102" fillId="0" borderId="3" xfId="0" applyNumberFormat="1" applyFont="1" applyBorder="1" applyAlignment="1">
      <alignment horizontal="center" vertical="center" wrapText="1"/>
    </xf>
    <xf numFmtId="0" fontId="100" fillId="0" borderId="0" xfId="0" applyFont="1" applyAlignment="1">
      <alignment horizontal="left" vertical="center" wrapText="1"/>
    </xf>
    <xf numFmtId="0" fontId="101" fillId="0" borderId="0" xfId="0" applyFont="1" applyAlignment="1">
      <alignment horizontal="left" vertical="center"/>
    </xf>
    <xf numFmtId="0" fontId="101" fillId="0" borderId="0" xfId="0" applyFont="1" applyAlignment="1">
      <alignment horizontal="left" vertical="center" wrapText="1"/>
    </xf>
    <xf numFmtId="0" fontId="100" fillId="0" borderId="1" xfId="0" applyFont="1" applyBorder="1" applyAlignment="1">
      <alignment horizontal="center" vertical="center" wrapText="1"/>
    </xf>
    <xf numFmtId="0" fontId="102" fillId="0" borderId="3" xfId="0" applyFont="1" applyBorder="1" applyAlignment="1">
      <alignment horizontal="center" vertical="center" wrapText="1"/>
    </xf>
    <xf numFmtId="0" fontId="102" fillId="0" borderId="1" xfId="0" applyFont="1" applyBorder="1" applyAlignment="1">
      <alignment horizontal="center" vertical="center" wrapText="1"/>
    </xf>
    <xf numFmtId="1" fontId="100" fillId="0" borderId="0" xfId="0" applyNumberFormat="1" applyFont="1" applyAlignment="1">
      <alignment vertical="center"/>
    </xf>
    <xf numFmtId="1" fontId="102" fillId="0" borderId="3" xfId="0" applyNumberFormat="1" applyFont="1" applyBorder="1" applyAlignment="1">
      <alignment horizontal="right" vertical="center" wrapText="1"/>
    </xf>
    <xf numFmtId="9" fontId="102" fillId="0" borderId="3" xfId="0" applyNumberFormat="1" applyFont="1" applyBorder="1" applyAlignment="1">
      <alignment horizontal="right" vertical="center" wrapText="1"/>
    </xf>
    <xf numFmtId="169" fontId="102" fillId="0" borderId="1" xfId="0" applyNumberFormat="1" applyFont="1" applyBorder="1" applyAlignment="1">
      <alignment horizontal="right" vertical="center" wrapText="1"/>
    </xf>
    <xf numFmtId="169" fontId="100" fillId="0" borderId="0" xfId="0" applyNumberFormat="1" applyFont="1" applyAlignment="1">
      <alignment horizontal="center" vertical="center" wrapText="1"/>
    </xf>
    <xf numFmtId="2" fontId="102" fillId="0" borderId="3" xfId="0" applyNumberFormat="1" applyFont="1" applyBorder="1" applyAlignment="1">
      <alignment horizontal="right" vertical="center" wrapText="1"/>
    </xf>
    <xf numFmtId="178" fontId="102" fillId="0" borderId="3" xfId="0" applyNumberFormat="1" applyFont="1" applyBorder="1" applyAlignment="1">
      <alignment horizontal="center" vertical="center" wrapText="1"/>
    </xf>
    <xf numFmtId="182" fontId="102" fillId="0" borderId="1" xfId="0" applyNumberFormat="1" applyFont="1" applyBorder="1" applyAlignment="1">
      <alignment horizontal="right" vertical="center" wrapText="1"/>
    </xf>
    <xf numFmtId="0" fontId="102" fillId="0" borderId="0" xfId="0" applyFont="1" applyAlignment="1">
      <alignment horizontal="left" vertical="center"/>
    </xf>
    <xf numFmtId="0" fontId="109" fillId="0" borderId="0" xfId="0" applyFont="1" applyAlignment="1">
      <alignment vertical="center"/>
    </xf>
    <xf numFmtId="0" fontId="102" fillId="0" borderId="0" xfId="0" applyFont="1" applyAlignment="1">
      <alignment vertical="center"/>
    </xf>
    <xf numFmtId="0" fontId="101" fillId="0" borderId="0" xfId="0" applyFont="1" applyAlignment="1">
      <alignment vertical="center"/>
    </xf>
    <xf numFmtId="188" fontId="100" fillId="0" borderId="3" xfId="0" applyNumberFormat="1" applyFont="1" applyBorder="1" applyAlignment="1">
      <alignment horizontal="center" vertical="center"/>
    </xf>
    <xf numFmtId="171" fontId="100" fillId="0" borderId="3" xfId="0" applyNumberFormat="1" applyFont="1" applyBorder="1" applyAlignment="1">
      <alignment horizontal="center" vertical="center" wrapText="1"/>
    </xf>
    <xf numFmtId="169" fontId="111" fillId="0" borderId="3" xfId="0" applyNumberFormat="1" applyFont="1" applyBorder="1" applyAlignment="1">
      <alignment horizont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15" fillId="0" borderId="8" xfId="0" applyNumberFormat="1" applyFont="1" applyBorder="1" applyAlignment="1">
      <alignment horizontal="left" vertical="center" wrapText="1"/>
    </xf>
    <xf numFmtId="0" fontId="114" fillId="0" borderId="3" xfId="0" applyFont="1" applyBorder="1" applyAlignment="1">
      <alignment horizontal="left" vertical="center" wrapText="1"/>
    </xf>
    <xf numFmtId="0" fontId="116" fillId="0" borderId="8" xfId="0" applyFont="1" applyBorder="1" applyAlignment="1">
      <alignment wrapText="1"/>
    </xf>
    <xf numFmtId="49" fontId="117" fillId="0" borderId="2" xfId="0" applyNumberFormat="1" applyFont="1" applyBorder="1" applyAlignment="1">
      <alignment horizontal="center" vertical="center" wrapText="1"/>
    </xf>
    <xf numFmtId="49" fontId="115" fillId="0" borderId="3" xfId="0" applyNumberFormat="1" applyFont="1" applyBorder="1" applyAlignment="1">
      <alignment horizontal="center" vertical="center" wrapText="1"/>
    </xf>
    <xf numFmtId="49" fontId="118" fillId="0" borderId="3" xfId="0" applyNumberFormat="1" applyFont="1" applyBorder="1" applyAlignment="1">
      <alignment horizontal="center" vertical="center" wrapText="1"/>
    </xf>
    <xf numFmtId="0" fontId="118" fillId="0" borderId="3" xfId="0" applyFont="1" applyBorder="1" applyAlignment="1">
      <alignment horizontal="center" vertical="center" wrapText="1"/>
    </xf>
    <xf numFmtId="164" fontId="18" fillId="17" borderId="3" xfId="0" applyNumberFormat="1" applyFont="1" applyFill="1" applyBorder="1" applyAlignment="1">
      <alignment horizontal="center" vertical="center" wrapText="1"/>
    </xf>
    <xf numFmtId="164" fontId="118" fillId="18" borderId="3" xfId="0" applyNumberFormat="1" applyFont="1" applyFill="1" applyBorder="1" applyAlignment="1">
      <alignment horizontal="center" vertical="center" wrapText="1"/>
    </xf>
    <xf numFmtId="1" fontId="99" fillId="0" borderId="8" xfId="0" applyNumberFormat="1" applyFont="1" applyBorder="1" applyAlignment="1">
      <alignment wrapText="1"/>
    </xf>
    <xf numFmtId="0" fontId="99" fillId="9" borderId="24" xfId="0" applyFont="1" applyFill="1" applyBorder="1"/>
    <xf numFmtId="0" fontId="102" fillId="0" borderId="3" xfId="0" applyFont="1" applyBorder="1" applyAlignment="1">
      <alignment wrapText="1"/>
    </xf>
    <xf numFmtId="0" fontId="99" fillId="0" borderId="3" xfId="0" applyFont="1" applyBorder="1" applyAlignment="1">
      <alignment horizontal="center" wrapText="1"/>
    </xf>
    <xf numFmtId="1" fontId="99" fillId="0" borderId="3" xfId="0" applyNumberFormat="1" applyFont="1" applyBorder="1" applyAlignment="1">
      <alignment horizontal="center" wrapText="1"/>
    </xf>
    <xf numFmtId="0" fontId="102" fillId="0" borderId="8" xfId="0" applyFont="1" applyBorder="1" applyAlignment="1">
      <alignment wrapText="1"/>
    </xf>
    <xf numFmtId="169" fontId="27" fillId="0" borderId="0" xfId="0" applyNumberFormat="1" applyFont="1" applyAlignment="1">
      <alignment vertical="center" wrapText="1"/>
    </xf>
    <xf numFmtId="0" fontId="115" fillId="0" borderId="3" xfId="0" applyFont="1" applyBorder="1"/>
    <xf numFmtId="177" fontId="101" fillId="0" borderId="1" xfId="0" applyNumberFormat="1" applyFont="1" applyBorder="1" applyAlignment="1">
      <alignment wrapText="1"/>
    </xf>
    <xf numFmtId="171" fontId="100" fillId="0" borderId="1" xfId="0" applyNumberFormat="1" applyFont="1" applyBorder="1" applyAlignment="1">
      <alignment wrapText="1"/>
    </xf>
    <xf numFmtId="177" fontId="100" fillId="0" borderId="1" xfId="0" applyNumberFormat="1" applyFont="1" applyBorder="1" applyAlignment="1">
      <alignment wrapText="1"/>
    </xf>
    <xf numFmtId="182" fontId="100" fillId="0" borderId="3" xfId="0" applyNumberFormat="1" applyFont="1" applyBorder="1" applyAlignment="1">
      <alignment wrapText="1"/>
    </xf>
    <xf numFmtId="182" fontId="101" fillId="0" borderId="1" xfId="0" applyNumberFormat="1" applyFont="1" applyBorder="1" applyAlignment="1">
      <alignment wrapText="1"/>
    </xf>
    <xf numFmtId="182" fontId="100" fillId="0" borderId="1" xfId="0" applyNumberFormat="1" applyFont="1" applyBorder="1" applyAlignment="1">
      <alignment wrapText="1"/>
    </xf>
    <xf numFmtId="182" fontId="110" fillId="0" borderId="3" xfId="0" applyNumberFormat="1" applyFont="1" applyBorder="1" applyAlignment="1">
      <alignment wrapText="1"/>
    </xf>
    <xf numFmtId="190" fontId="56" fillId="4" borderId="3" xfId="0" applyNumberFormat="1" applyFont="1" applyFill="1" applyBorder="1" applyAlignment="1">
      <alignment horizontal="center" vertical="center"/>
    </xf>
    <xf numFmtId="1" fontId="70" fillId="0" borderId="16" xfId="0" applyNumberFormat="1" applyFont="1" applyBorder="1" applyAlignment="1">
      <alignment vertical="center"/>
    </xf>
    <xf numFmtId="0" fontId="52" fillId="19" borderId="7" xfId="0" applyFont="1" applyFill="1" applyBorder="1" applyAlignment="1">
      <alignment wrapText="1"/>
    </xf>
    <xf numFmtId="0" fontId="52" fillId="19" borderId="3" xfId="0" applyFont="1" applyFill="1" applyBorder="1"/>
    <xf numFmtId="0" fontId="52" fillId="19" borderId="7" xfId="0" applyFont="1" applyFill="1" applyBorder="1"/>
    <xf numFmtId="0" fontId="121" fillId="0" borderId="43" xfId="0" applyFont="1" applyBorder="1" applyAlignment="1">
      <alignment vertical="center"/>
    </xf>
    <xf numFmtId="0" fontId="3" fillId="0" borderId="46" xfId="0" applyFont="1" applyBorder="1" applyAlignment="1">
      <alignment horizontal="center" vertical="center"/>
    </xf>
    <xf numFmtId="1" fontId="99" fillId="0" borderId="45" xfId="0" applyNumberFormat="1" applyFont="1" applyBorder="1" applyAlignment="1">
      <alignment wrapText="1"/>
    </xf>
    <xf numFmtId="0" fontId="69" fillId="0" borderId="47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wrapText="1"/>
    </xf>
    <xf numFmtId="0" fontId="52" fillId="0" borderId="51" xfId="0" applyFont="1" applyBorder="1" applyAlignment="1">
      <alignment horizontal="center" wrapText="1"/>
    </xf>
    <xf numFmtId="0" fontId="52" fillId="11" borderId="51" xfId="0" applyFont="1" applyFill="1" applyBorder="1" applyAlignment="1">
      <alignment horizontal="center" wrapText="1"/>
    </xf>
    <xf numFmtId="0" fontId="52" fillId="0" borderId="51" xfId="0" applyFont="1" applyBorder="1"/>
    <xf numFmtId="0" fontId="52" fillId="19" borderId="51" xfId="0" applyFont="1" applyFill="1" applyBorder="1"/>
    <xf numFmtId="1" fontId="56" fillId="0" borderId="51" xfId="0" applyNumberFormat="1" applyFont="1" applyBorder="1" applyAlignment="1">
      <alignment horizontal="center"/>
    </xf>
    <xf numFmtId="1" fontId="52" fillId="0" borderId="51" xfId="0" applyNumberFormat="1" applyFont="1" applyBorder="1" applyAlignment="1">
      <alignment horizontal="center"/>
    </xf>
    <xf numFmtId="1" fontId="52" fillId="0" borderId="51" xfId="0" applyNumberFormat="1" applyFont="1" applyBorder="1" applyAlignment="1">
      <alignment horizontal="center" wrapText="1"/>
    </xf>
    <xf numFmtId="172" fontId="41" fillId="0" borderId="3" xfId="0" applyNumberFormat="1" applyFont="1" applyBorder="1" applyAlignment="1">
      <alignment horizontal="right" vertical="center" wrapText="1"/>
    </xf>
    <xf numFmtId="171" fontId="41" fillId="0" borderId="3" xfId="0" applyNumberFormat="1" applyFont="1" applyBorder="1" applyAlignment="1">
      <alignment horizontal="right" vertical="center" wrapText="1"/>
    </xf>
    <xf numFmtId="164" fontId="41" fillId="0" borderId="2" xfId="0" applyNumberFormat="1" applyFont="1" applyBorder="1" applyAlignment="1">
      <alignment horizontal="right" vertical="center" wrapText="1"/>
    </xf>
    <xf numFmtId="164" fontId="41" fillId="0" borderId="14" xfId="0" applyNumberFormat="1" applyFont="1" applyBorder="1" applyAlignment="1">
      <alignment horizontal="right" vertical="center" wrapText="1"/>
    </xf>
    <xf numFmtId="164" fontId="41" fillId="2" borderId="3" xfId="0" applyNumberFormat="1" applyFont="1" applyFill="1" applyBorder="1" applyAlignment="1">
      <alignment horizontal="right" vertical="center" wrapText="1"/>
    </xf>
    <xf numFmtId="164" fontId="41" fillId="0" borderId="3" xfId="0" applyNumberFormat="1" applyFont="1" applyBorder="1" applyAlignment="1">
      <alignment horizontal="right" vertical="center"/>
    </xf>
    <xf numFmtId="164" fontId="47" fillId="0" borderId="3" xfId="0" applyNumberFormat="1" applyFont="1" applyBorder="1" applyAlignment="1">
      <alignment horizontal="right" vertical="center" wrapText="1"/>
    </xf>
    <xf numFmtId="164" fontId="122" fillId="0" borderId="3" xfId="0" applyNumberFormat="1" applyFont="1" applyBorder="1" applyAlignment="1">
      <alignment horizontal="right" vertical="center" wrapText="1"/>
    </xf>
    <xf numFmtId="172" fontId="122" fillId="2" borderId="3" xfId="0" applyNumberFormat="1" applyFont="1" applyFill="1" applyBorder="1" applyAlignment="1">
      <alignment horizontal="center" vertical="center" wrapText="1"/>
    </xf>
    <xf numFmtId="164" fontId="41" fillId="17" borderId="3" xfId="0" applyNumberFormat="1" applyFont="1" applyFill="1" applyBorder="1" applyAlignment="1">
      <alignment horizontal="right" vertical="center" wrapText="1"/>
    </xf>
    <xf numFmtId="171" fontId="123" fillId="0" borderId="3" xfId="0" applyNumberFormat="1" applyFont="1" applyBorder="1" applyAlignment="1">
      <alignment horizontal="right" vertical="center" wrapText="1"/>
    </xf>
    <xf numFmtId="0" fontId="47" fillId="0" borderId="2" xfId="0" applyFont="1" applyBorder="1" applyAlignment="1">
      <alignment horizontal="right" vertical="center"/>
    </xf>
    <xf numFmtId="164" fontId="15" fillId="0" borderId="3" xfId="0" applyNumberFormat="1" applyFont="1" applyBorder="1" applyAlignment="1">
      <alignment vertical="center" wrapText="1"/>
    </xf>
    <xf numFmtId="165" fontId="15" fillId="0" borderId="3" xfId="0" applyNumberFormat="1" applyFont="1" applyBorder="1" applyAlignment="1">
      <alignment vertical="center" wrapText="1"/>
    </xf>
    <xf numFmtId="164" fontId="15" fillId="0" borderId="3" xfId="0" applyNumberFormat="1" applyFont="1" applyBorder="1" applyAlignment="1">
      <alignment horizontal="right" vertical="center" wrapText="1"/>
    </xf>
    <xf numFmtId="165" fontId="15" fillId="0" borderId="3" xfId="0" applyNumberFormat="1" applyFont="1" applyBorder="1" applyAlignment="1">
      <alignment horizontal="right" vertical="center" wrapText="1"/>
    </xf>
    <xf numFmtId="164" fontId="15" fillId="0" borderId="7" xfId="0" applyNumberFormat="1" applyFont="1" applyBorder="1" applyAlignment="1">
      <alignment horizontal="right" vertical="center" wrapText="1"/>
    </xf>
    <xf numFmtId="164" fontId="15" fillId="0" borderId="8" xfId="0" applyNumberFormat="1" applyFont="1" applyBorder="1" applyAlignment="1">
      <alignment horizontal="right" vertical="center" wrapText="1"/>
    </xf>
    <xf numFmtId="164" fontId="16" fillId="2" borderId="3" xfId="0" applyNumberFormat="1" applyFont="1" applyFill="1" applyBorder="1" applyAlignment="1">
      <alignment horizontal="right" vertical="center" wrapText="1"/>
    </xf>
    <xf numFmtId="49" fontId="15" fillId="0" borderId="8" xfId="0" applyNumberFormat="1" applyFont="1" applyBorder="1" applyAlignment="1">
      <alignment horizontal="left" vertical="center" wrapText="1"/>
    </xf>
    <xf numFmtId="172" fontId="15" fillId="0" borderId="3" xfId="0" applyNumberFormat="1" applyFont="1" applyBorder="1" applyAlignment="1">
      <alignment horizontal="right" vertical="center" wrapText="1"/>
    </xf>
    <xf numFmtId="164" fontId="15" fillId="0" borderId="14" xfId="0" applyNumberFormat="1" applyFont="1" applyBorder="1" applyAlignment="1">
      <alignment horizontal="right" vertical="center" wrapText="1"/>
    </xf>
    <xf numFmtId="179" fontId="15" fillId="0" borderId="3" xfId="0" applyNumberFormat="1" applyFont="1" applyBorder="1" applyAlignment="1">
      <alignment horizontal="right" vertical="center" wrapText="1"/>
    </xf>
    <xf numFmtId="172" fontId="15" fillId="0" borderId="14" xfId="0" applyNumberFormat="1" applyFont="1" applyBorder="1" applyAlignment="1">
      <alignment horizontal="right" vertical="center" wrapText="1"/>
    </xf>
    <xf numFmtId="172" fontId="16" fillId="2" borderId="2" xfId="0" applyNumberFormat="1" applyFont="1" applyFill="1" applyBorder="1" applyAlignment="1">
      <alignment horizontal="right" vertical="center" wrapText="1"/>
    </xf>
    <xf numFmtId="164" fontId="19" fillId="2" borderId="3" xfId="0" applyNumberFormat="1" applyFont="1" applyFill="1" applyBorder="1" applyAlignment="1">
      <alignment horizontal="right" vertical="center" wrapText="1"/>
    </xf>
    <xf numFmtId="165" fontId="16" fillId="2" borderId="3" xfId="0" applyNumberFormat="1" applyFont="1" applyFill="1" applyBorder="1" applyAlignment="1">
      <alignment horizontal="right" vertical="center" wrapText="1"/>
    </xf>
    <xf numFmtId="164" fontId="15" fillId="2" borderId="3" xfId="0" applyNumberFormat="1" applyFont="1" applyFill="1" applyBorder="1" applyAlignment="1">
      <alignment horizontal="right" vertical="center" wrapText="1"/>
    </xf>
    <xf numFmtId="164" fontId="19" fillId="8" borderId="3" xfId="0" applyNumberFormat="1" applyFont="1" applyFill="1" applyBorder="1" applyAlignment="1">
      <alignment horizontal="right" vertical="center" wrapText="1"/>
    </xf>
    <xf numFmtId="172" fontId="15" fillId="0" borderId="7" xfId="0" applyNumberFormat="1" applyFont="1" applyBorder="1" applyAlignment="1">
      <alignment horizontal="right" vertical="center" wrapText="1"/>
    </xf>
    <xf numFmtId="169" fontId="15" fillId="0" borderId="3" xfId="0" applyNumberFormat="1" applyFont="1" applyBorder="1" applyAlignment="1">
      <alignment horizontal="right" vertical="center" wrapText="1"/>
    </xf>
    <xf numFmtId="172" fontId="15" fillId="0" borderId="1" xfId="0" applyNumberFormat="1" applyFont="1" applyBorder="1" applyAlignment="1">
      <alignment horizontal="right" vertical="center" wrapText="1"/>
    </xf>
    <xf numFmtId="172" fontId="15" fillId="4" borderId="3" xfId="0" applyNumberFormat="1" applyFont="1" applyFill="1" applyBorder="1" applyAlignment="1">
      <alignment horizontal="right" vertical="center" wrapText="1"/>
    </xf>
    <xf numFmtId="172" fontId="15" fillId="3" borderId="3" xfId="0" applyNumberFormat="1" applyFont="1" applyFill="1" applyBorder="1" applyAlignment="1">
      <alignment horizontal="center" vertical="center" wrapText="1"/>
    </xf>
    <xf numFmtId="172" fontId="16" fillId="2" borderId="2" xfId="0" applyNumberFormat="1" applyFont="1" applyFill="1" applyBorder="1" applyAlignment="1">
      <alignment horizontal="center" vertical="center" wrapText="1"/>
    </xf>
    <xf numFmtId="172" fontId="16" fillId="5" borderId="3" xfId="0" applyNumberFormat="1" applyFont="1" applyFill="1" applyBorder="1" applyAlignment="1">
      <alignment horizontal="center" vertical="center" wrapText="1"/>
    </xf>
    <xf numFmtId="177" fontId="15" fillId="0" borderId="3" xfId="0" applyNumberFormat="1" applyFont="1" applyBorder="1" applyAlignment="1">
      <alignment horizontal="right" vertical="center" wrapText="1"/>
    </xf>
    <xf numFmtId="172" fontId="47" fillId="0" borderId="4" xfId="0" applyNumberFormat="1" applyFont="1" applyBorder="1" applyAlignment="1">
      <alignment horizontal="right" vertical="center"/>
    </xf>
    <xf numFmtId="164" fontId="15" fillId="0" borderId="2" xfId="0" applyNumberFormat="1" applyFont="1" applyBorder="1" applyAlignment="1">
      <alignment horizontal="right" vertical="center" wrapText="1"/>
    </xf>
    <xf numFmtId="177" fontId="15" fillId="0" borderId="2" xfId="0" applyNumberFormat="1" applyFont="1" applyBorder="1" applyAlignment="1">
      <alignment horizontal="right" vertical="center" wrapText="1"/>
    </xf>
    <xf numFmtId="172" fontId="16" fillId="2" borderId="14" xfId="0" applyNumberFormat="1" applyFont="1" applyFill="1" applyBorder="1" applyAlignment="1">
      <alignment horizontal="right" vertical="center" wrapText="1"/>
    </xf>
    <xf numFmtId="170" fontId="16" fillId="2" borderId="3" xfId="0" applyNumberFormat="1" applyFont="1" applyFill="1" applyBorder="1" applyAlignment="1">
      <alignment horizontal="right" vertical="center" wrapText="1"/>
    </xf>
    <xf numFmtId="173" fontId="15" fillId="2" borderId="3" xfId="0" applyNumberFormat="1" applyFont="1" applyFill="1" applyBorder="1" applyAlignment="1">
      <alignment horizontal="right" vertical="center" wrapText="1"/>
    </xf>
    <xf numFmtId="171" fontId="15" fillId="2" borderId="3" xfId="0" applyNumberFormat="1" applyFont="1" applyFill="1" applyBorder="1" applyAlignment="1">
      <alignment horizontal="right" vertical="center" wrapText="1"/>
    </xf>
    <xf numFmtId="1" fontId="52" fillId="0" borderId="3" xfId="0" applyNumberFormat="1" applyFont="1" applyBorder="1"/>
    <xf numFmtId="1" fontId="52" fillId="0" borderId="7" xfId="0" applyNumberFormat="1" applyFont="1" applyBorder="1"/>
    <xf numFmtId="1" fontId="52" fillId="0" borderId="51" xfId="0" applyNumberFormat="1" applyFont="1" applyBorder="1"/>
    <xf numFmtId="1" fontId="124" fillId="0" borderId="45" xfId="0" applyNumberFormat="1" applyFont="1" applyBorder="1"/>
    <xf numFmtId="1" fontId="124" fillId="0" borderId="48" xfId="0" applyNumberFormat="1" applyFont="1" applyBorder="1"/>
    <xf numFmtId="1" fontId="124" fillId="0" borderId="52" xfId="0" applyNumberFormat="1" applyFont="1" applyBorder="1"/>
    <xf numFmtId="169" fontId="52" fillId="10" borderId="31" xfId="0" applyNumberFormat="1" applyFont="1" applyFill="1" applyBorder="1" applyAlignment="1">
      <alignment horizontal="center" vertical="center"/>
    </xf>
    <xf numFmtId="0" fontId="8" fillId="0" borderId="0" xfId="0" applyFont="1"/>
    <xf numFmtId="164" fontId="19" fillId="0" borderId="3" xfId="0" applyNumberFormat="1" applyFont="1" applyBorder="1" applyAlignment="1">
      <alignment horizontal="right" vertical="center" wrapText="1"/>
    </xf>
    <xf numFmtId="172" fontId="15" fillId="0" borderId="2" xfId="0" applyNumberFormat="1" applyFont="1" applyBorder="1" applyAlignment="1">
      <alignment horizontal="right" vertical="center" wrapText="1"/>
    </xf>
    <xf numFmtId="171" fontId="16" fillId="2" borderId="3" xfId="0" applyNumberFormat="1" applyFont="1" applyFill="1" applyBorder="1" applyAlignment="1">
      <alignment horizontal="right" vertical="center" wrapText="1"/>
    </xf>
    <xf numFmtId="164" fontId="16" fillId="0" borderId="3" xfId="0" applyNumberFormat="1" applyFont="1" applyBorder="1" applyAlignment="1">
      <alignment horizontal="right" vertical="center" wrapText="1"/>
    </xf>
    <xf numFmtId="164" fontId="15" fillId="0" borderId="3" xfId="0" applyNumberFormat="1" applyFont="1" applyBorder="1" applyAlignment="1">
      <alignment horizontal="right" vertical="center"/>
    </xf>
    <xf numFmtId="172" fontId="16" fillId="8" borderId="3" xfId="0" applyNumberFormat="1" applyFont="1" applyFill="1" applyBorder="1" applyAlignment="1">
      <alignment horizontal="center" vertical="center" wrapText="1"/>
    </xf>
    <xf numFmtId="172" fontId="19" fillId="8" borderId="3" xfId="0" applyNumberFormat="1" applyFont="1" applyFill="1" applyBorder="1" applyAlignment="1">
      <alignment horizontal="right" vertical="center" wrapText="1"/>
    </xf>
    <xf numFmtId="164" fontId="19" fillId="2" borderId="1" xfId="0" applyNumberFormat="1" applyFont="1" applyFill="1" applyBorder="1" applyAlignment="1">
      <alignment horizontal="right" vertical="center" wrapText="1"/>
    </xf>
    <xf numFmtId="172" fontId="19" fillId="0" borderId="3" xfId="0" applyNumberFormat="1" applyFont="1" applyBorder="1" applyAlignment="1">
      <alignment horizontal="right" vertical="center" wrapText="1"/>
    </xf>
    <xf numFmtId="172" fontId="16" fillId="4" borderId="7" xfId="0" applyNumberFormat="1" applyFont="1" applyFill="1" applyBorder="1" applyAlignment="1">
      <alignment horizontal="center" vertical="center" wrapText="1"/>
    </xf>
    <xf numFmtId="172" fontId="15" fillId="4" borderId="7" xfId="0" applyNumberFormat="1" applyFont="1" applyFill="1" applyBorder="1" applyAlignment="1">
      <alignment horizontal="right" vertical="center" wrapText="1"/>
    </xf>
    <xf numFmtId="177" fontId="15" fillId="21" borderId="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173" fontId="15" fillId="0" borderId="3" xfId="0" applyNumberFormat="1" applyFont="1" applyBorder="1" applyAlignment="1">
      <alignment horizontal="center" vertical="center" wrapText="1"/>
    </xf>
    <xf numFmtId="169" fontId="15" fillId="0" borderId="3" xfId="0" applyNumberFormat="1" applyFont="1" applyBorder="1" applyAlignment="1">
      <alignment horizontal="center" vertical="center" wrapText="1"/>
    </xf>
    <xf numFmtId="169" fontId="27" fillId="0" borderId="0" xfId="0" applyNumberFormat="1" applyFont="1" applyAlignment="1">
      <alignment horizontal="center" vertical="center" wrapText="1"/>
    </xf>
    <xf numFmtId="0" fontId="46" fillId="0" borderId="0" xfId="0" applyFont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49" fontId="18" fillId="0" borderId="10" xfId="0" applyNumberFormat="1" applyFont="1" applyBorder="1" applyAlignment="1">
      <alignment horizontal="center" vertical="center" wrapText="1"/>
    </xf>
    <xf numFmtId="49" fontId="24" fillId="0" borderId="9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51" fillId="0" borderId="3" xfId="0" applyFont="1" applyBorder="1" applyAlignment="1">
      <alignment horizontal="left" vertical="center" wrapText="1"/>
    </xf>
    <xf numFmtId="0" fontId="54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172" fontId="13" fillId="0" borderId="3" xfId="0" applyNumberFormat="1" applyFont="1" applyBorder="1" applyAlignment="1">
      <alignment horizontal="center" vertical="center" wrapText="1"/>
    </xf>
    <xf numFmtId="0" fontId="51" fillId="10" borderId="8" xfId="0" applyFont="1" applyFill="1" applyBorder="1" applyAlignment="1">
      <alignment horizontal="left" vertical="center"/>
    </xf>
    <xf numFmtId="0" fontId="2" fillId="10" borderId="8" xfId="0" applyFont="1" applyFill="1" applyBorder="1" applyAlignment="1">
      <alignment horizontal="left" vertical="center"/>
    </xf>
    <xf numFmtId="49" fontId="24" fillId="0" borderId="3" xfId="0" applyNumberFormat="1" applyFont="1" applyBorder="1" applyAlignment="1">
      <alignment horizontal="center" vertical="center" wrapText="1"/>
    </xf>
    <xf numFmtId="180" fontId="24" fillId="0" borderId="3" xfId="0" applyNumberFormat="1" applyFont="1" applyBorder="1" applyAlignment="1">
      <alignment horizontal="center" vertical="center" wrapText="1"/>
    </xf>
    <xf numFmtId="180" fontId="24" fillId="0" borderId="3" xfId="0" applyNumberFormat="1" applyFont="1" applyBorder="1" applyAlignment="1">
      <alignment horizontal="center" vertical="center"/>
    </xf>
    <xf numFmtId="0" fontId="64" fillId="0" borderId="15" xfId="0" applyFont="1" applyBorder="1" applyAlignment="1">
      <alignment horizontal="left" vertical="center" wrapText="1"/>
    </xf>
    <xf numFmtId="0" fontId="63" fillId="0" borderId="0" xfId="0" applyFont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63" fillId="0" borderId="3" xfId="0" applyFont="1" applyBorder="1" applyAlignment="1">
      <alignment horizontal="center" vertical="center" wrapText="1"/>
    </xf>
    <xf numFmtId="185" fontId="62" fillId="0" borderId="0" xfId="0" applyNumberFormat="1" applyFont="1" applyAlignment="1">
      <alignment horizontal="center" vertical="center" wrapText="1"/>
    </xf>
    <xf numFmtId="0" fontId="100" fillId="0" borderId="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11" borderId="39" xfId="0" applyFont="1" applyFill="1" applyBorder="1" applyAlignment="1">
      <alignment horizontal="center" vertical="center"/>
    </xf>
    <xf numFmtId="0" fontId="3" fillId="11" borderId="5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wrapText="1"/>
    </xf>
    <xf numFmtId="0" fontId="24" fillId="20" borderId="3" xfId="0" applyFont="1" applyFill="1" applyBorder="1" applyAlignment="1">
      <alignment horizontal="center" vertical="center" wrapText="1"/>
    </xf>
    <xf numFmtId="0" fontId="23" fillId="20" borderId="4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45" xfId="0" applyFont="1" applyBorder="1" applyAlignment="1">
      <alignment horizontal="center" vertical="center" wrapText="1"/>
    </xf>
    <xf numFmtId="2" fontId="24" fillId="0" borderId="3" xfId="0" applyNumberFormat="1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24" fillId="19" borderId="7" xfId="0" applyFont="1" applyFill="1" applyBorder="1" applyAlignment="1">
      <alignment horizontal="center" vertical="center" wrapText="1"/>
    </xf>
    <xf numFmtId="0" fontId="24" fillId="19" borderId="11" xfId="0" applyFont="1" applyFill="1" applyBorder="1" applyAlignment="1">
      <alignment horizontal="center" vertical="center" wrapText="1"/>
    </xf>
    <xf numFmtId="0" fontId="24" fillId="19" borderId="8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2" fillId="0" borderId="0" xfId="0" applyFont="1" applyAlignment="1">
      <alignment horizontal="left" wrapText="1"/>
    </xf>
    <xf numFmtId="0" fontId="56" fillId="0" borderId="0" xfId="0" applyFont="1" applyAlignment="1">
      <alignment horizontal="center" vertical="center"/>
    </xf>
    <xf numFmtId="0" fontId="52" fillId="0" borderId="20" xfId="0" applyFont="1" applyBorder="1" applyAlignment="1">
      <alignment horizontal="center" vertical="center" wrapText="1"/>
    </xf>
    <xf numFmtId="0" fontId="56" fillId="0" borderId="21" xfId="0" applyFont="1" applyBorder="1" applyAlignment="1">
      <alignment horizontal="center" vertical="center" wrapText="1"/>
    </xf>
    <xf numFmtId="0" fontId="71" fillId="0" borderId="21" xfId="0" applyFont="1" applyBorder="1" applyAlignment="1">
      <alignment horizontal="center" vertical="center" wrapText="1"/>
    </xf>
    <xf numFmtId="0" fontId="56" fillId="0" borderId="22" xfId="0" applyFont="1" applyBorder="1" applyAlignment="1">
      <alignment horizontal="center" vertical="center" wrapText="1"/>
    </xf>
    <xf numFmtId="0" fontId="56" fillId="0" borderId="24" xfId="0" applyFont="1" applyBorder="1" applyAlignment="1">
      <alignment horizontal="center" vertical="center" wrapText="1"/>
    </xf>
    <xf numFmtId="0" fontId="56" fillId="0" borderId="23" xfId="0" applyFont="1" applyBorder="1" applyAlignment="1">
      <alignment horizontal="center" vertical="center" wrapText="1"/>
    </xf>
    <xf numFmtId="0" fontId="56" fillId="0" borderId="25" xfId="0" applyFont="1" applyBorder="1" applyAlignment="1">
      <alignment horizontal="center" vertical="center" wrapText="1"/>
    </xf>
    <xf numFmtId="0" fontId="56" fillId="0" borderId="26" xfId="0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 wrapText="1"/>
    </xf>
    <xf numFmtId="0" fontId="63" fillId="0" borderId="0" xfId="0" applyFont="1" applyAlignment="1">
      <alignment horizontal="left" vertical="center" wrapText="1"/>
    </xf>
    <xf numFmtId="0" fontId="56" fillId="0" borderId="3" xfId="0" applyFont="1" applyBorder="1" applyAlignment="1">
      <alignment horizontal="center" wrapText="1"/>
    </xf>
    <xf numFmtId="0" fontId="56" fillId="0" borderId="27" xfId="0" applyFont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101" fillId="0" borderId="0" xfId="0" applyFont="1" applyAlignment="1">
      <alignment horizontal="center" vertical="center"/>
    </xf>
    <xf numFmtId="0" fontId="108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01" fillId="0" borderId="0" xfId="0" applyFont="1" applyAlignment="1">
      <alignment vertical="center" wrapText="1"/>
    </xf>
    <xf numFmtId="0" fontId="100" fillId="0" borderId="0" xfId="0" applyFont="1" applyAlignment="1">
      <alignment vertical="center" wrapText="1"/>
    </xf>
    <xf numFmtId="0" fontId="100" fillId="0" borderId="3" xfId="0" applyFont="1" applyBorder="1" applyAlignment="1">
      <alignment horizontal="center" vertical="center"/>
    </xf>
    <xf numFmtId="177" fontId="4" fillId="0" borderId="0" xfId="0" applyNumberFormat="1" applyFont="1" applyAlignment="1">
      <alignment horizontal="center" vertical="center" wrapText="1"/>
    </xf>
    <xf numFmtId="0" fontId="101" fillId="0" borderId="3" xfId="0" applyFont="1" applyBorder="1" applyAlignment="1">
      <alignment horizontal="left" vertical="center" wrapText="1"/>
    </xf>
    <xf numFmtId="190" fontId="101" fillId="0" borderId="1" xfId="0" applyNumberFormat="1" applyFont="1" applyBorder="1" applyAlignment="1">
      <alignment wrapText="1"/>
    </xf>
    <xf numFmtId="175" fontId="2" fillId="0" borderId="3" xfId="0" applyNumberFormat="1" applyFont="1" applyBorder="1" applyAlignment="1">
      <alignment wrapText="1"/>
    </xf>
    <xf numFmtId="177" fontId="2" fillId="0" borderId="3" xfId="0" applyNumberFormat="1" applyFont="1" applyBorder="1" applyAlignment="1">
      <alignment wrapText="1"/>
    </xf>
    <xf numFmtId="187" fontId="101" fillId="0" borderId="3" xfId="0" applyNumberFormat="1" applyFont="1" applyBorder="1" applyAlignment="1">
      <alignment horizontal="center" vertical="center" wrapText="1"/>
    </xf>
    <xf numFmtId="9" fontId="101" fillId="0" borderId="3" xfId="0" applyNumberFormat="1" applyFont="1" applyBorder="1" applyAlignment="1">
      <alignment horizontal="center" vertical="center" wrapText="1"/>
    </xf>
    <xf numFmtId="0" fontId="77" fillId="0" borderId="0" xfId="0" applyFont="1" applyAlignment="1">
      <alignment horizontal="left" vertical="center"/>
    </xf>
    <xf numFmtId="0" fontId="100" fillId="0" borderId="3" xfId="0" applyFont="1" applyBorder="1" applyAlignment="1">
      <alignment horizontal="left" vertical="center" wrapText="1"/>
    </xf>
    <xf numFmtId="176" fontId="100" fillId="0" borderId="1" xfId="0" applyNumberFormat="1" applyFont="1" applyBorder="1" applyAlignment="1">
      <alignment wrapText="1"/>
    </xf>
    <xf numFmtId="176" fontId="100" fillId="0" borderId="2" xfId="0" applyNumberFormat="1" applyFont="1" applyBorder="1" applyAlignment="1">
      <alignment wrapText="1"/>
    </xf>
    <xf numFmtId="176" fontId="3" fillId="0" borderId="3" xfId="0" applyNumberFormat="1" applyFont="1" applyBorder="1" applyAlignment="1">
      <alignment wrapText="1"/>
    </xf>
    <xf numFmtId="0" fontId="82" fillId="0" borderId="0" xfId="0" applyFont="1" applyAlignment="1">
      <alignment horizontal="left" vertical="center"/>
    </xf>
    <xf numFmtId="175" fontId="100" fillId="0" borderId="1" xfId="0" applyNumberFormat="1" applyFont="1" applyBorder="1" applyAlignment="1">
      <alignment wrapText="1"/>
    </xf>
    <xf numFmtId="175" fontId="100" fillId="0" borderId="2" xfId="0" applyNumberFormat="1" applyFont="1" applyBorder="1" applyAlignment="1">
      <alignment wrapText="1"/>
    </xf>
    <xf numFmtId="178" fontId="3" fillId="0" borderId="3" xfId="0" applyNumberFormat="1" applyFont="1" applyBorder="1" applyAlignment="1">
      <alignment wrapText="1"/>
    </xf>
    <xf numFmtId="182" fontId="3" fillId="0" borderId="3" xfId="0" applyNumberFormat="1" applyFont="1" applyBorder="1" applyAlignment="1">
      <alignment wrapText="1"/>
    </xf>
    <xf numFmtId="0" fontId="83" fillId="0" borderId="0" xfId="0" applyFont="1" applyAlignment="1">
      <alignment horizontal="center" vertical="center"/>
    </xf>
    <xf numFmtId="169" fontId="100" fillId="0" borderId="1" xfId="0" applyNumberFormat="1" applyFont="1" applyBorder="1" applyAlignment="1">
      <alignment wrapText="1"/>
    </xf>
    <xf numFmtId="169" fontId="100" fillId="0" borderId="2" xfId="0" applyNumberFormat="1" applyFont="1" applyBorder="1" applyAlignment="1">
      <alignment wrapText="1"/>
    </xf>
    <xf numFmtId="171" fontId="3" fillId="0" borderId="3" xfId="0" applyNumberFormat="1" applyFont="1" applyBorder="1" applyAlignment="1">
      <alignment wrapText="1"/>
    </xf>
    <xf numFmtId="182" fontId="101" fillId="0" borderId="1" xfId="0" applyNumberFormat="1" applyFont="1" applyBorder="1" applyAlignment="1">
      <alignment wrapText="1"/>
    </xf>
    <xf numFmtId="182" fontId="2" fillId="0" borderId="3" xfId="0" applyNumberFormat="1" applyFont="1" applyBorder="1" applyAlignment="1">
      <alignment wrapText="1"/>
    </xf>
    <xf numFmtId="182" fontId="2" fillId="0" borderId="1" xfId="0" applyNumberFormat="1" applyFont="1" applyBorder="1" applyAlignment="1">
      <alignment wrapText="1"/>
    </xf>
    <xf numFmtId="182" fontId="100" fillId="0" borderId="1" xfId="0" applyNumberFormat="1" applyFont="1" applyBorder="1" applyAlignment="1">
      <alignment wrapText="1"/>
    </xf>
    <xf numFmtId="182" fontId="3" fillId="0" borderId="1" xfId="0" applyNumberFormat="1" applyFont="1" applyBorder="1" applyAlignment="1">
      <alignment wrapText="1"/>
    </xf>
    <xf numFmtId="191" fontId="100" fillId="0" borderId="1" xfId="0" applyNumberFormat="1" applyFont="1" applyBorder="1" applyAlignment="1">
      <alignment wrapText="1"/>
    </xf>
    <xf numFmtId="179" fontId="3" fillId="0" borderId="3" xfId="0" applyNumberFormat="1" applyFont="1" applyBorder="1" applyAlignment="1">
      <alignment wrapText="1"/>
    </xf>
    <xf numFmtId="182" fontId="100" fillId="0" borderId="3" xfId="0" applyNumberFormat="1" applyFont="1" applyBorder="1" applyAlignment="1">
      <alignment wrapText="1"/>
    </xf>
    <xf numFmtId="0" fontId="100" fillId="0" borderId="3" xfId="0" applyFont="1" applyBorder="1" applyAlignment="1">
      <alignment wrapText="1"/>
    </xf>
    <xf numFmtId="0" fontId="100" fillId="0" borderId="0" xfId="0" applyFont="1" applyAlignment="1">
      <alignment horizontal="left" vertical="center" wrapText="1"/>
    </xf>
    <xf numFmtId="0" fontId="100" fillId="0" borderId="0" xfId="0" applyFont="1" applyAlignment="1">
      <alignment vertical="center"/>
    </xf>
    <xf numFmtId="0" fontId="100" fillId="0" borderId="1" xfId="0" applyFont="1" applyBorder="1" applyAlignment="1">
      <alignment horizontal="center" vertical="center" wrapText="1"/>
    </xf>
    <xf numFmtId="0" fontId="112" fillId="0" borderId="3" xfId="0" applyFont="1" applyBorder="1" applyAlignment="1">
      <alignment horizontal="center" vertical="center" wrapText="1"/>
    </xf>
    <xf numFmtId="0" fontId="102" fillId="0" borderId="3" xfId="0" applyFont="1" applyBorder="1" applyAlignment="1">
      <alignment horizontal="center" vertical="center" wrapText="1"/>
    </xf>
    <xf numFmtId="0" fontId="111" fillId="16" borderId="3" xfId="0" applyFont="1" applyFill="1" applyBorder="1" applyAlignment="1">
      <alignment horizontal="center" vertical="center" wrapText="1"/>
    </xf>
    <xf numFmtId="0" fontId="111" fillId="16" borderId="1" xfId="0" applyFont="1" applyFill="1" applyBorder="1" applyAlignment="1">
      <alignment horizontal="center" vertical="center" wrapText="1"/>
    </xf>
    <xf numFmtId="0" fontId="111" fillId="16" borderId="8" xfId="0" applyFont="1" applyFill="1" applyBorder="1" applyAlignment="1">
      <alignment horizontal="center" vertical="center" wrapText="1"/>
    </xf>
    <xf numFmtId="0" fontId="111" fillId="16" borderId="33" xfId="0" applyFont="1" applyFill="1" applyBorder="1" applyAlignment="1">
      <alignment horizontal="center" vertical="center" wrapText="1"/>
    </xf>
    <xf numFmtId="0" fontId="111" fillId="16" borderId="37" xfId="0" applyFont="1" applyFill="1" applyBorder="1" applyAlignment="1">
      <alignment horizontal="center" vertical="center" wrapText="1"/>
    </xf>
    <xf numFmtId="0" fontId="113" fillId="0" borderId="3" xfId="0" applyFont="1" applyBorder="1" applyAlignment="1">
      <alignment horizontal="center" vertical="center" wrapText="1"/>
    </xf>
    <xf numFmtId="188" fontId="100" fillId="0" borderId="3" xfId="0" applyNumberFormat="1" applyFont="1" applyBorder="1" applyAlignment="1">
      <alignment horizontal="center" vertical="center" wrapText="1"/>
    </xf>
    <xf numFmtId="176" fontId="100" fillId="0" borderId="3" xfId="0" applyNumberFormat="1" applyFont="1" applyBorder="1" applyAlignment="1">
      <alignment horizontal="center" vertical="center" wrapText="1"/>
    </xf>
    <xf numFmtId="176" fontId="101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left" vertical="center" wrapText="1"/>
    </xf>
    <xf numFmtId="176" fontId="13" fillId="9" borderId="3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left" vertical="center" wrapText="1"/>
    </xf>
    <xf numFmtId="189" fontId="13" fillId="0" borderId="3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6" fillId="0" borderId="3" xfId="0" applyFont="1" applyBorder="1" applyAlignment="1">
      <alignment horizontal="left" vertical="center" wrapText="1"/>
    </xf>
    <xf numFmtId="178" fontId="13" fillId="9" borderId="3" xfId="0" applyNumberFormat="1" applyFont="1" applyFill="1" applyBorder="1" applyAlignment="1">
      <alignment horizontal="center" vertical="center" wrapText="1"/>
    </xf>
    <xf numFmtId="178" fontId="13" fillId="0" borderId="3" xfId="0" applyNumberFormat="1" applyFont="1" applyBorder="1" applyAlignment="1">
      <alignment horizontal="center" vertical="center" wrapText="1"/>
    </xf>
    <xf numFmtId="49" fontId="86" fillId="0" borderId="3" xfId="0" applyNumberFormat="1" applyFont="1" applyBorder="1" applyAlignment="1">
      <alignment horizontal="center" vertical="center" wrapText="1"/>
    </xf>
    <xf numFmtId="188" fontId="13" fillId="0" borderId="3" xfId="0" applyNumberFormat="1" applyFont="1" applyBorder="1" applyAlignment="1">
      <alignment horizontal="left" vertical="center" wrapText="1"/>
    </xf>
    <xf numFmtId="9" fontId="13" fillId="0" borderId="3" xfId="0" applyNumberFormat="1" applyFont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169" fontId="13" fillId="0" borderId="3" xfId="0" applyNumberFormat="1" applyFont="1" applyBorder="1" applyAlignment="1">
      <alignment horizontal="center" vertical="center" wrapText="1"/>
    </xf>
    <xf numFmtId="0" fontId="86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9" fontId="13" fillId="9" borderId="3" xfId="0" applyNumberFormat="1" applyFont="1" applyFill="1" applyBorder="1" applyAlignment="1">
      <alignment horizontal="center" vertical="center" wrapText="1"/>
    </xf>
    <xf numFmtId="177" fontId="13" fillId="0" borderId="3" xfId="0" applyNumberFormat="1" applyFont="1" applyBorder="1" applyAlignment="1">
      <alignment horizontal="center" vertical="center" wrapText="1"/>
    </xf>
    <xf numFmtId="182" fontId="13" fillId="0" borderId="3" xfId="0" applyNumberFormat="1" applyFont="1" applyBorder="1" applyAlignment="1">
      <alignment horizontal="center" vertical="center" wrapText="1"/>
    </xf>
    <xf numFmtId="177" fontId="13" fillId="9" borderId="3" xfId="0" applyNumberFormat="1" applyFont="1" applyFill="1" applyBorder="1" applyAlignment="1">
      <alignment horizontal="center" vertical="center" wrapText="1"/>
    </xf>
    <xf numFmtId="182" fontId="13" fillId="9" borderId="3" xfId="0" applyNumberFormat="1" applyFont="1" applyFill="1" applyBorder="1" applyAlignment="1">
      <alignment horizontal="center" vertical="center" wrapText="1"/>
    </xf>
    <xf numFmtId="176" fontId="13" fillId="9" borderId="3" xfId="0" applyNumberFormat="1" applyFont="1" applyFill="1" applyBorder="1" applyAlignment="1">
      <alignment horizontal="right" vertical="center" wrapText="1"/>
    </xf>
    <xf numFmtId="169" fontId="13" fillId="9" borderId="3" xfId="0" applyNumberFormat="1" applyFont="1" applyFill="1" applyBorder="1" applyAlignment="1">
      <alignment horizontal="center" vertical="center" wrapText="1"/>
    </xf>
    <xf numFmtId="188" fontId="13" fillId="0" borderId="3" xfId="0" applyNumberFormat="1" applyFont="1" applyBorder="1" applyAlignment="1">
      <alignment horizontal="center" vertical="center" wrapText="1"/>
    </xf>
    <xf numFmtId="49" fontId="80" fillId="0" borderId="3" xfId="0" applyNumberFormat="1" applyFont="1" applyBorder="1" applyAlignment="1">
      <alignment horizontal="left" vertical="center" wrapText="1"/>
    </xf>
    <xf numFmtId="49" fontId="80" fillId="0" borderId="3" xfId="0" applyNumberFormat="1" applyFont="1" applyBorder="1" applyAlignment="1">
      <alignment horizontal="center" vertical="center" wrapText="1"/>
    </xf>
    <xf numFmtId="188" fontId="80" fillId="0" borderId="3" xfId="0" applyNumberFormat="1" applyFont="1" applyBorder="1" applyAlignment="1">
      <alignment horizontal="center" vertical="center" wrapText="1"/>
    </xf>
    <xf numFmtId="176" fontId="80" fillId="0" borderId="3" xfId="0" applyNumberFormat="1" applyFont="1" applyBorder="1" applyAlignment="1">
      <alignment horizontal="center" vertical="center" wrapText="1"/>
    </xf>
    <xf numFmtId="176" fontId="80" fillId="9" borderId="3" xfId="0" applyNumberFormat="1" applyFont="1" applyFill="1" applyBorder="1" applyAlignment="1">
      <alignment horizontal="center" vertical="center" wrapText="1"/>
    </xf>
    <xf numFmtId="0" fontId="80" fillId="0" borderId="3" xfId="0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49" fontId="87" fillId="0" borderId="3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49" fontId="54" fillId="0" borderId="3" xfId="0" applyNumberFormat="1" applyFont="1" applyBorder="1" applyAlignment="1">
      <alignment horizontal="left" vertical="center" wrapText="1"/>
    </xf>
    <xf numFmtId="169" fontId="6" fillId="0" borderId="3" xfId="0" applyNumberFormat="1" applyFont="1" applyBorder="1" applyAlignment="1">
      <alignment horizontal="right" vertical="center" wrapText="1"/>
    </xf>
    <xf numFmtId="169" fontId="54" fillId="0" borderId="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wrapText="1"/>
    </xf>
    <xf numFmtId="171" fontId="4" fillId="0" borderId="1" xfId="0" applyNumberFormat="1" applyFont="1" applyBorder="1" applyAlignment="1">
      <alignment horizontal="right" vertical="center" wrapText="1"/>
    </xf>
    <xf numFmtId="169" fontId="34" fillId="0" borderId="3" xfId="0" applyNumberFormat="1" applyFont="1" applyBorder="1" applyAlignment="1">
      <alignment horizontal="center" vertical="center" wrapText="1"/>
    </xf>
    <xf numFmtId="49" fontId="112" fillId="0" borderId="8" xfId="0" applyNumberFormat="1" applyFont="1" applyBorder="1" applyAlignment="1">
      <alignment wrapText="1"/>
    </xf>
    <xf numFmtId="49" fontId="34" fillId="0" borderId="8" xfId="0" applyNumberFormat="1" applyFont="1" applyBorder="1" applyAlignment="1">
      <alignment wrapText="1"/>
    </xf>
    <xf numFmtId="169" fontId="4" fillId="0" borderId="3" xfId="0" applyNumberFormat="1" applyFont="1" applyBorder="1" applyAlignment="1">
      <alignment horizontal="right" vertical="center" wrapText="1"/>
    </xf>
    <xf numFmtId="172" fontId="54" fillId="0" borderId="3" xfId="0" applyNumberFormat="1" applyFont="1" applyBorder="1" applyAlignment="1">
      <alignment horizontal="center" vertical="center" wrapText="1"/>
    </xf>
    <xf numFmtId="172" fontId="125" fillId="0" borderId="3" xfId="0" applyNumberFormat="1" applyFont="1" applyBorder="1" applyAlignment="1">
      <alignment horizontal="center" vertical="center" wrapText="1"/>
    </xf>
    <xf numFmtId="169" fontId="13" fillId="0" borderId="0" xfId="0" applyNumberFormat="1" applyFont="1" applyAlignment="1">
      <alignment horizontal="right" vertical="center" wrapText="1"/>
    </xf>
    <xf numFmtId="172" fontId="34" fillId="0" borderId="3" xfId="0" applyNumberFormat="1" applyFont="1" applyBorder="1" applyAlignment="1">
      <alignment horizontal="center" vertical="center" wrapText="1"/>
    </xf>
    <xf numFmtId="172" fontId="30" fillId="0" borderId="3" xfId="0" applyNumberFormat="1" applyFont="1" applyBorder="1" applyAlignment="1">
      <alignment horizontal="center" vertical="center" wrapText="1"/>
    </xf>
    <xf numFmtId="172" fontId="34" fillId="0" borderId="1" xfId="0" applyNumberFormat="1" applyFont="1" applyBorder="1" applyAlignment="1">
      <alignment horizontal="center" vertical="center" wrapText="1"/>
    </xf>
    <xf numFmtId="188" fontId="6" fillId="0" borderId="3" xfId="0" applyNumberFormat="1" applyFont="1" applyBorder="1" applyAlignment="1">
      <alignment horizontal="left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2" fontId="125" fillId="0" borderId="1" xfId="0" applyNumberFormat="1" applyFont="1" applyBorder="1" applyAlignment="1">
      <alignment horizontal="center" vertical="center" wrapText="1"/>
    </xf>
    <xf numFmtId="172" fontId="125" fillId="0" borderId="10" xfId="0" applyNumberFormat="1" applyFont="1" applyBorder="1" applyAlignment="1">
      <alignment horizontal="center" vertical="center" wrapText="1"/>
    </xf>
    <xf numFmtId="0" fontId="77" fillId="0" borderId="0" xfId="0" applyFont="1" applyAlignment="1">
      <alignment horizontal="left" vertical="center" wrapText="1"/>
    </xf>
    <xf numFmtId="0" fontId="67" fillId="0" borderId="0" xfId="0" applyFont="1" applyAlignment="1">
      <alignment horizontal="center" vertical="center" wrapText="1"/>
    </xf>
    <xf numFmtId="0" fontId="12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90" fillId="0" borderId="34" xfId="0" applyFont="1" applyBorder="1" applyAlignment="1">
      <alignment horizontal="left" vertical="top" wrapText="1"/>
    </xf>
    <xf numFmtId="0" fontId="6" fillId="13" borderId="16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87" fillId="0" borderId="15" xfId="0" applyFont="1" applyBorder="1" applyAlignment="1">
      <alignment horizontal="left"/>
    </xf>
    <xf numFmtId="49" fontId="93" fillId="0" borderId="0" xfId="0" applyNumberFormat="1" applyFont="1" applyAlignment="1">
      <alignment horizontal="left" vertical="center" wrapText="1"/>
    </xf>
    <xf numFmtId="0" fontId="98" fillId="0" borderId="0" xfId="0" applyFont="1" applyAlignment="1">
      <alignment horizontal="center"/>
    </xf>
    <xf numFmtId="0" fontId="97" fillId="0" borderId="0" xfId="0" applyFont="1" applyAlignment="1">
      <alignment horizontal="center"/>
    </xf>
    <xf numFmtId="0" fontId="93" fillId="0" borderId="3" xfId="0" applyFont="1" applyBorder="1" applyAlignment="1">
      <alignment horizontal="center" vertical="center" wrapText="1"/>
    </xf>
    <xf numFmtId="0" fontId="93" fillId="0" borderId="0" xfId="0" applyFont="1" applyAlignment="1">
      <alignment horizontal="center"/>
    </xf>
    <xf numFmtId="0" fontId="9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2CC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CC8BD"/>
      <rgbColor rgb="FF808080"/>
      <rgbColor rgb="FF9999FF"/>
      <rgbColor rgb="FF993366"/>
      <rgbColor rgb="FFFFFBCC"/>
      <rgbColor rgb="FFCCFFFF"/>
      <rgbColor rgb="FF660066"/>
      <rgbColor rgb="FFFF8080"/>
      <rgbColor rgb="FF0066CC"/>
      <rgbColor rgb="FFADC5E7"/>
      <rgbColor rgb="FF000080"/>
      <rgbColor rgb="FFFF00FF"/>
      <rgbColor rgb="FFFFF9AE"/>
      <rgbColor rgb="FF00FFFF"/>
      <rgbColor rgb="FF800080"/>
      <rgbColor rgb="FFC00000"/>
      <rgbColor rgb="FF008080"/>
      <rgbColor rgb="FF0000FF"/>
      <rgbColor rgb="FF00B0F0"/>
      <rgbColor rgb="FFBCE4E5"/>
      <rgbColor rgb="FFCCFFCC"/>
      <rgbColor rgb="FFFFFF99"/>
      <rgbColor rgb="FF99CCFF"/>
      <rgbColor rgb="FFFFE5CA"/>
      <rgbColor rgb="FFBEE3D3"/>
      <rgbColor rgb="FFFFE697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111111"/>
      <rgbColor rgb="FF333300"/>
      <rgbColor rgb="FFED1C24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85;&#1103;/Downloads/Users/&#1058;&#1072;&#1085;&#1103;/Downloads/&#1060;&#1055;%20-2023-&#1046;&#1058;%20_%25252525252525252525252525252525252525252525252525252525252525252525252525252525252525252525252525252525252525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сн. фін. пок."/>
      <sheetName val="I. Фін результат_8,6%"/>
      <sheetName val="I. Фін результат _7,3%"/>
      <sheetName val="I. Фін результат_6,35%"/>
      <sheetName val="ІІ. Розр. з бюджетом"/>
      <sheetName val="ІІІ. Рух грош. коштів"/>
      <sheetName val="IV. Кап. інвестиції"/>
      <sheetName val=" V. Коефіцієнти"/>
      <sheetName val="6.1. Інша інфо_1"/>
      <sheetName val="6.2. Інша інфо_2"/>
      <sheetName val="дод1_порівняння з 2022"/>
      <sheetName val="дод2_Розр ФОП (2)"/>
      <sheetName val="Оклади"/>
      <sheetName val="дод3 інфо по діяльності"/>
      <sheetName val="розр-к окладів"/>
      <sheetName val="дод4_Відомості про ман"/>
      <sheetName val="дод5_претенз позов робо"/>
      <sheetName val="штатний"/>
    </sheetNames>
    <sheetDataSet>
      <sheetData sheetId="0"/>
      <sheetData sheetId="1"/>
      <sheetData sheetId="2"/>
      <sheetData sheetId="3">
        <row r="6">
          <cell r="B6" t="str">
            <v>1000</v>
          </cell>
        </row>
        <row r="17">
          <cell r="B17" t="str">
            <v>1010</v>
          </cell>
        </row>
        <row r="51">
          <cell r="B51" t="str">
            <v>1020</v>
          </cell>
        </row>
        <row r="62">
          <cell r="B62" t="str">
            <v>1040</v>
          </cell>
        </row>
        <row r="128">
          <cell r="B128" t="str">
            <v>1100</v>
          </cell>
        </row>
        <row r="142">
          <cell r="B142" t="str">
            <v>1170</v>
          </cell>
        </row>
        <row r="143">
          <cell r="B143" t="str">
            <v>1180</v>
          </cell>
        </row>
        <row r="145">
          <cell r="B145" t="str">
            <v>1200</v>
          </cell>
        </row>
        <row r="150">
          <cell r="B150" t="str">
            <v>1300</v>
          </cell>
        </row>
        <row r="151">
          <cell r="B151" t="str">
            <v>1310</v>
          </cell>
        </row>
        <row r="152">
          <cell r="B152" t="str">
            <v>1320</v>
          </cell>
        </row>
      </sheetData>
      <sheetData sheetId="4"/>
      <sheetData sheetId="5"/>
      <sheetData sheetId="6"/>
      <sheetData sheetId="7">
        <row r="7">
          <cell r="B7">
            <v>5010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99"/>
  </sheetPr>
  <dimension ref="A1:Z993"/>
  <sheetViews>
    <sheetView tabSelected="1" view="pageBreakPreview" topLeftCell="A32" zoomScaleNormal="111" workbookViewId="0">
      <selection activeCell="I77" sqref="I77"/>
    </sheetView>
  </sheetViews>
  <sheetFormatPr defaultRowHeight="12.75" x14ac:dyDescent="0.2"/>
  <cols>
    <col min="1" max="1" width="63" customWidth="1"/>
    <col min="2" max="2" width="7.42578125" customWidth="1"/>
    <col min="3" max="3" width="13" customWidth="1"/>
    <col min="4" max="4" width="15.140625" customWidth="1"/>
    <col min="5" max="5" width="15" customWidth="1"/>
    <col min="6" max="6" width="17" customWidth="1"/>
    <col min="7" max="7" width="9.7109375" customWidth="1"/>
    <col min="8" max="8" width="9.140625" customWidth="1"/>
    <col min="9" max="10" width="8.85546875" customWidth="1"/>
    <col min="11" max="11" width="10.140625" customWidth="1"/>
    <col min="12" max="16" width="8.85546875" customWidth="1"/>
    <col min="17" max="26" width="7.7109375" customWidth="1"/>
    <col min="27" max="1025" width="12.140625" customWidth="1"/>
  </cols>
  <sheetData>
    <row r="1" spans="1:26" ht="18.75" customHeight="1" x14ac:dyDescent="0.3">
      <c r="A1" s="783" t="s">
        <v>0</v>
      </c>
      <c r="B1" s="783"/>
      <c r="C1" s="8"/>
      <c r="D1" s="783" t="s">
        <v>1</v>
      </c>
      <c r="E1" s="783"/>
      <c r="F1" s="783"/>
      <c r="G1" s="9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</row>
    <row r="2" spans="1:26" ht="35.25" customHeight="1" x14ac:dyDescent="0.3">
      <c r="A2" s="784" t="s">
        <v>2</v>
      </c>
      <c r="B2" s="784"/>
      <c r="C2" s="8"/>
      <c r="D2" s="785" t="s">
        <v>3</v>
      </c>
      <c r="E2" s="785"/>
      <c r="F2" s="785"/>
      <c r="G2" s="6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</row>
    <row r="3" spans="1:26" ht="18.75" customHeight="1" x14ac:dyDescent="0.3">
      <c r="A3" s="786" t="s">
        <v>4</v>
      </c>
      <c r="B3" s="786"/>
      <c r="C3" s="8"/>
      <c r="D3" s="785" t="s">
        <v>5</v>
      </c>
      <c r="E3" s="785"/>
      <c r="F3" s="785"/>
      <c r="G3" s="6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6" ht="18.75" customHeight="1" x14ac:dyDescent="0.2">
      <c r="A4" s="11" t="s">
        <v>6</v>
      </c>
      <c r="B4" s="8"/>
      <c r="C4" s="8"/>
      <c r="D4" s="12"/>
      <c r="E4" s="12"/>
      <c r="F4" s="787"/>
      <c r="G4" s="787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</row>
    <row r="5" spans="1:26" ht="18.75" customHeight="1" x14ac:dyDescent="0.2">
      <c r="A5" s="8"/>
      <c r="B5" s="13" t="s">
        <v>7</v>
      </c>
      <c r="C5" s="13"/>
      <c r="D5" s="12"/>
      <c r="E5" s="12"/>
      <c r="F5" s="5"/>
      <c r="G5" s="5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6" ht="38.25" customHeight="1" x14ac:dyDescent="0.2">
      <c r="A6" s="13"/>
      <c r="B6" s="8"/>
      <c r="C6" s="8"/>
      <c r="D6" s="8"/>
      <c r="E6" s="14"/>
      <c r="F6" s="8"/>
      <c r="G6" s="8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6" ht="39.75" customHeight="1" x14ac:dyDescent="0.3">
      <c r="A7" s="7" t="s">
        <v>0</v>
      </c>
      <c r="B7" s="15"/>
      <c r="C7" s="8"/>
      <c r="D7" s="8"/>
      <c r="E7" s="14"/>
      <c r="F7" s="8"/>
      <c r="G7" s="8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6" ht="20.25" customHeight="1" x14ac:dyDescent="0.3">
      <c r="A8" s="784" t="s">
        <v>8</v>
      </c>
      <c r="B8" s="784"/>
      <c r="C8" s="8"/>
      <c r="D8" s="8"/>
      <c r="E8" s="14"/>
      <c r="F8" s="8"/>
      <c r="G8" s="8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</row>
    <row r="9" spans="1:26" ht="19.5" customHeight="1" x14ac:dyDescent="0.3">
      <c r="A9" s="784" t="s">
        <v>9</v>
      </c>
      <c r="B9" s="784"/>
      <c r="C9" s="8"/>
      <c r="D9" s="8"/>
      <c r="E9" s="14"/>
      <c r="F9" s="8"/>
      <c r="G9" s="8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</row>
    <row r="10" spans="1:26" ht="23.25" customHeight="1" x14ac:dyDescent="0.2">
      <c r="A10" s="11" t="s">
        <v>10</v>
      </c>
      <c r="B10" s="11"/>
      <c r="C10" s="8"/>
      <c r="D10" s="8"/>
      <c r="E10" s="14"/>
      <c r="F10" s="8"/>
      <c r="G10" s="8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6" ht="19.5" customHeight="1" x14ac:dyDescent="0.3">
      <c r="A11" s="786" t="s">
        <v>11</v>
      </c>
      <c r="B11" s="786"/>
      <c r="C11" s="8"/>
      <c r="D11" s="8"/>
      <c r="E11" s="14"/>
      <c r="F11" s="8"/>
      <c r="G11" s="8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</row>
    <row r="12" spans="1:26" ht="18.75" x14ac:dyDescent="0.2">
      <c r="A12" s="16" t="s">
        <v>12</v>
      </c>
      <c r="B12" s="13" t="s">
        <v>7</v>
      </c>
      <c r="C12" s="8"/>
      <c r="D12" s="8"/>
      <c r="E12" s="14"/>
      <c r="F12" s="8"/>
      <c r="G12" s="8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</row>
    <row r="13" spans="1:26" ht="21" customHeight="1" x14ac:dyDescent="0.2">
      <c r="A13" s="10"/>
      <c r="B13" s="17"/>
      <c r="C13" s="17"/>
      <c r="D13" s="18"/>
      <c r="E13" s="19"/>
      <c r="F13" s="19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4.5" customHeight="1" x14ac:dyDescent="0.2">
      <c r="A14" s="10"/>
      <c r="B14" s="17"/>
      <c r="C14" s="17"/>
      <c r="D14" s="17"/>
      <c r="E14" s="17"/>
      <c r="F14" s="17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37.5" customHeight="1" x14ac:dyDescent="0.2">
      <c r="A15" s="20"/>
      <c r="B15" s="788" t="s">
        <v>863</v>
      </c>
      <c r="C15" s="788"/>
      <c r="D15" s="788"/>
      <c r="E15" s="788"/>
      <c r="F15" s="2" t="s">
        <v>13</v>
      </c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41.25" customHeight="1" x14ac:dyDescent="0.2">
      <c r="A16" s="4" t="s">
        <v>14</v>
      </c>
      <c r="B16" s="21"/>
      <c r="C16" s="22"/>
      <c r="D16" s="23"/>
      <c r="E16" s="20" t="s">
        <v>15</v>
      </c>
      <c r="F16" s="2">
        <v>34900680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24.75" customHeight="1" x14ac:dyDescent="0.2">
      <c r="A17" s="24" t="s">
        <v>16</v>
      </c>
      <c r="B17" s="21"/>
      <c r="C17" s="22"/>
      <c r="D17" s="23"/>
      <c r="E17" s="20" t="s">
        <v>17</v>
      </c>
      <c r="F17" s="2">
        <v>280</v>
      </c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24.75" customHeight="1" x14ac:dyDescent="0.2">
      <c r="A18" s="24" t="s">
        <v>18</v>
      </c>
      <c r="B18" s="21"/>
      <c r="C18" s="22"/>
      <c r="D18" s="23"/>
      <c r="E18" s="20" t="s">
        <v>19</v>
      </c>
      <c r="F18" s="2">
        <v>1810136600</v>
      </c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24.75" customHeight="1" x14ac:dyDescent="0.2">
      <c r="A19" s="24" t="s">
        <v>20</v>
      </c>
      <c r="B19" s="21"/>
      <c r="C19" s="22"/>
      <c r="D19" s="23"/>
      <c r="E19" s="20" t="s">
        <v>21</v>
      </c>
      <c r="F19" s="2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24.75" customHeight="1" x14ac:dyDescent="0.2">
      <c r="A20" s="24" t="s">
        <v>22</v>
      </c>
      <c r="B20" s="21"/>
      <c r="C20" s="22"/>
      <c r="D20" s="23"/>
      <c r="E20" s="20" t="s">
        <v>23</v>
      </c>
      <c r="F20" s="2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33.75" customHeight="1" x14ac:dyDescent="0.2">
      <c r="A21" s="789" t="s">
        <v>24</v>
      </c>
      <c r="B21" s="789"/>
      <c r="C21" s="789"/>
      <c r="D21" s="789"/>
      <c r="E21" s="25" t="s">
        <v>25</v>
      </c>
      <c r="F21" s="2" t="s">
        <v>26</v>
      </c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4.75" customHeight="1" x14ac:dyDescent="0.2">
      <c r="A22" s="4" t="s">
        <v>27</v>
      </c>
      <c r="B22" s="23"/>
      <c r="C22" s="790" t="s">
        <v>28</v>
      </c>
      <c r="D22" s="790"/>
      <c r="E22" s="790"/>
      <c r="F22" s="26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4.75" customHeight="1" x14ac:dyDescent="0.2">
      <c r="A23" s="4" t="s">
        <v>29</v>
      </c>
      <c r="B23" s="23"/>
      <c r="C23" s="790" t="s">
        <v>30</v>
      </c>
      <c r="D23" s="790"/>
      <c r="E23" s="790"/>
      <c r="F23" s="26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4.75" customHeight="1" x14ac:dyDescent="0.2">
      <c r="A24" s="789" t="s">
        <v>31</v>
      </c>
      <c r="B24" s="789"/>
      <c r="C24" s="3">
        <v>28</v>
      </c>
      <c r="D24" s="23"/>
      <c r="E24" s="791"/>
      <c r="F24" s="791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24.75" customHeight="1" x14ac:dyDescent="0.2">
      <c r="A25" s="24" t="s">
        <v>32</v>
      </c>
      <c r="B25" s="23"/>
      <c r="C25" s="22"/>
      <c r="D25" s="23"/>
      <c r="E25" s="791"/>
      <c r="F25" s="791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24.75" customHeight="1" x14ac:dyDescent="0.2">
      <c r="A26" s="4" t="s">
        <v>33</v>
      </c>
      <c r="B26" s="23"/>
      <c r="C26" s="22"/>
      <c r="D26" s="23"/>
      <c r="E26" s="791"/>
      <c r="F26" s="791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24.75" customHeight="1" x14ac:dyDescent="0.2">
      <c r="A27" s="789" t="s">
        <v>34</v>
      </c>
      <c r="B27" s="789"/>
      <c r="C27" s="789"/>
      <c r="D27" s="789"/>
      <c r="E27" s="791"/>
      <c r="F27" s="791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1.75" customHeight="1" x14ac:dyDescent="0.2">
      <c r="A28" s="10"/>
      <c r="B28" s="17"/>
      <c r="C28" s="10"/>
      <c r="D28" s="17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1.75" customHeight="1" x14ac:dyDescent="0.2">
      <c r="A29" s="10"/>
      <c r="B29" s="17"/>
      <c r="C29" s="10"/>
      <c r="D29" s="17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37.5" customHeight="1" x14ac:dyDescent="0.2">
      <c r="A30" s="10"/>
      <c r="B30" s="17"/>
      <c r="C30" s="10"/>
      <c r="D30" s="17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.5" hidden="1" customHeight="1" x14ac:dyDescent="0.2">
      <c r="A31" s="10"/>
      <c r="B31" s="17"/>
      <c r="C31" s="10"/>
      <c r="D31" s="17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8" customHeight="1" x14ac:dyDescent="0.2">
      <c r="A32" s="792" t="s">
        <v>884</v>
      </c>
      <c r="B32" s="792"/>
      <c r="C32" s="792"/>
      <c r="D32" s="792"/>
      <c r="E32" s="792"/>
      <c r="F32" s="792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1.75" customHeight="1" x14ac:dyDescent="0.2">
      <c r="A33" s="792" t="s">
        <v>35</v>
      </c>
      <c r="B33" s="792"/>
      <c r="C33" s="792"/>
      <c r="D33" s="792"/>
      <c r="E33" s="792"/>
      <c r="F33" s="792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28.5" customHeight="1" x14ac:dyDescent="0.2">
      <c r="A34" s="793" t="s">
        <v>36</v>
      </c>
      <c r="B34" s="794" t="s">
        <v>37</v>
      </c>
      <c r="C34" s="794" t="s">
        <v>38</v>
      </c>
      <c r="D34" s="794" t="s">
        <v>39</v>
      </c>
      <c r="E34" s="794" t="s">
        <v>40</v>
      </c>
      <c r="F34" s="794" t="s">
        <v>41</v>
      </c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46.5" customHeight="1" x14ac:dyDescent="0.2">
      <c r="A35" s="793"/>
      <c r="B35" s="793"/>
      <c r="C35" s="793"/>
      <c r="D35" s="793"/>
      <c r="E35" s="793"/>
      <c r="F35" s="793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 x14ac:dyDescent="0.2">
      <c r="A36" s="2">
        <v>1</v>
      </c>
      <c r="B36" s="1">
        <v>2</v>
      </c>
      <c r="C36" s="1">
        <v>3</v>
      </c>
      <c r="D36" s="1">
        <v>4</v>
      </c>
      <c r="E36" s="1">
        <v>5</v>
      </c>
      <c r="F36" s="1">
        <v>6</v>
      </c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8.75" customHeight="1" x14ac:dyDescent="0.2">
      <c r="A37" s="797" t="s">
        <v>42</v>
      </c>
      <c r="B37" s="797"/>
      <c r="C37" s="797"/>
      <c r="D37" s="797"/>
      <c r="E37" s="797"/>
      <c r="F37" s="797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38.25" customHeight="1" x14ac:dyDescent="0.2">
      <c r="A38" s="27" t="s">
        <v>43</v>
      </c>
      <c r="B38" s="28" t="str">
        <f>'[1]I. Фін результат_6,35%'!B6</f>
        <v>1000</v>
      </c>
      <c r="C38" s="29">
        <f>'I. Фін результат_8,0%'!C6</f>
        <v>2071.1</v>
      </c>
      <c r="D38" s="29">
        <f>'I. Фін результат_8,0%'!D6</f>
        <v>0</v>
      </c>
      <c r="E38" s="29">
        <f>'I. Фін результат_8,0%'!E6</f>
        <v>0</v>
      </c>
      <c r="F38" s="29">
        <f>'I. Фін результат_8,0%'!F6</f>
        <v>0</v>
      </c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42" customHeight="1" x14ac:dyDescent="0.2">
      <c r="A39" s="27" t="s">
        <v>44</v>
      </c>
      <c r="B39" s="28" t="str">
        <f>'[1]I. Фін результат_6,35%'!B17</f>
        <v>1010</v>
      </c>
      <c r="C39" s="29">
        <f>'I. Фін результат_8,0%'!C15</f>
        <v>2395.4</v>
      </c>
      <c r="D39" s="29">
        <f>'I. Фін результат_8,0%'!D15</f>
        <v>0</v>
      </c>
      <c r="E39" s="29">
        <f>'I. Фін результат_8,0%'!E15</f>
        <v>0</v>
      </c>
      <c r="F39" s="29">
        <f>'I. Фін результат_8,0%'!F15</f>
        <v>0</v>
      </c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8.75" customHeight="1" x14ac:dyDescent="0.2">
      <c r="A40" s="30" t="s">
        <v>45</v>
      </c>
      <c r="B40" s="31" t="str">
        <f>'[1]I. Фін результат_6,35%'!B51</f>
        <v>1020</v>
      </c>
      <c r="C40" s="32">
        <f>'I. Фін результат_8,0%'!C44</f>
        <v>-324.30000000000018</v>
      </c>
      <c r="D40" s="32">
        <f>'I. Фін результат_8,0%'!D44</f>
        <v>0</v>
      </c>
      <c r="E40" s="33">
        <f>'I. Фін результат_8,0%'!E44</f>
        <v>0</v>
      </c>
      <c r="F40" s="32">
        <f>'I. Фін результат_8,0%'!F44</f>
        <v>0</v>
      </c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8.75" customHeight="1" x14ac:dyDescent="0.2">
      <c r="A41" s="27" t="s">
        <v>46</v>
      </c>
      <c r="B41" s="28" t="str">
        <f>'[1]I. Фін результат_6,35%'!B62</f>
        <v>1040</v>
      </c>
      <c r="C41" s="29">
        <f>'I. Фін результат_8,0%'!C53</f>
        <v>-918.9</v>
      </c>
      <c r="D41" s="29">
        <f>'I. Фін результат_8,0%'!D53</f>
        <v>-866.2</v>
      </c>
      <c r="E41" s="29">
        <f>'I. Фін результат_8,0%'!E53</f>
        <v>-887.8</v>
      </c>
      <c r="F41" s="29">
        <f>'I. Фін результат_8,0%'!F53</f>
        <v>-1012.2</v>
      </c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8.75" customHeight="1" x14ac:dyDescent="0.2">
      <c r="A42" s="27" t="s">
        <v>47</v>
      </c>
      <c r="B42" s="2">
        <v>1070</v>
      </c>
      <c r="C42" s="29">
        <f>'I. Фін результат_8,0%'!C80</f>
        <v>0</v>
      </c>
      <c r="D42" s="29">
        <f>'I. Фін результат_8,0%'!D80</f>
        <v>0</v>
      </c>
      <c r="E42" s="29">
        <f>'I. Фін результат_8,0%'!E80</f>
        <v>0</v>
      </c>
      <c r="F42" s="29">
        <f>'I. Фін результат_8,0%'!F80</f>
        <v>0</v>
      </c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8.75" customHeight="1" x14ac:dyDescent="0.2">
      <c r="A43" s="27" t="s">
        <v>48</v>
      </c>
      <c r="B43" s="28" t="str">
        <f>'[1]I. Фін результат_6,35%'!B150</f>
        <v>1300</v>
      </c>
      <c r="C43" s="34">
        <f>'I. Фін результат_8,0%'!C133</f>
        <v>142.6</v>
      </c>
      <c r="D43" s="34"/>
      <c r="E43" s="34"/>
      <c r="F43" s="34">
        <f>'I. Фін результат_8,0%'!F85</f>
        <v>-6937.0400000000009</v>
      </c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8.75" customHeight="1" x14ac:dyDescent="0.2">
      <c r="A44" s="30" t="s">
        <v>49</v>
      </c>
      <c r="B44" s="31" t="str">
        <f>'[1]I. Фін результат_6,35%'!B128</f>
        <v>1100</v>
      </c>
      <c r="C44" s="32">
        <f>'I. Фін результат_8,0%'!C111</f>
        <v>-1100.5999999999999</v>
      </c>
      <c r="D44" s="32">
        <f>'I. Фін результат_8,0%'!D111</f>
        <v>-372.00000000000023</v>
      </c>
      <c r="E44" s="32">
        <f>'I. Фін результат_8,0%'!E111</f>
        <v>-408.7</v>
      </c>
      <c r="F44" s="32">
        <f>'I. Фін результат_8,0%'!F111</f>
        <v>-755.44000000000028</v>
      </c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39" customHeight="1" x14ac:dyDescent="0.2">
      <c r="A45" s="27" t="s">
        <v>50</v>
      </c>
      <c r="B45" s="28" t="str">
        <f>'[1]I. Фін результат_6,35%'!B151</f>
        <v>1310</v>
      </c>
      <c r="C45" s="29">
        <f>'I. Фін результат_8,0%'!C134</f>
        <v>0</v>
      </c>
      <c r="D45" s="29">
        <f>'I. Фін результат_8,0%'!D134</f>
        <v>0</v>
      </c>
      <c r="E45" s="29">
        <f>'I. Фін результат_8,0%'!E134</f>
        <v>0</v>
      </c>
      <c r="F45" s="29">
        <f>'I. Фін результат_8,0%'!F134</f>
        <v>0</v>
      </c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 x14ac:dyDescent="0.2">
      <c r="A46" s="27" t="s">
        <v>51</v>
      </c>
      <c r="B46" s="28" t="str">
        <f>'[1]I. Фін результат_6,35%'!B152</f>
        <v>1320</v>
      </c>
      <c r="C46" s="29">
        <f>'I. Фін результат_8,0%'!C135</f>
        <v>457</v>
      </c>
      <c r="D46" s="29">
        <f>'I. Фін результат_8,0%'!D135</f>
        <v>0</v>
      </c>
      <c r="E46" s="29">
        <f>'I. Фін результат_8,0%'!E135</f>
        <v>0</v>
      </c>
      <c r="F46" s="29">
        <f>'I. Фін результат_8,0%'!F135</f>
        <v>0</v>
      </c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8.75" customHeight="1" x14ac:dyDescent="0.2">
      <c r="A47" s="30" t="s">
        <v>52</v>
      </c>
      <c r="B47" s="31" t="str">
        <f>'[1]I. Фін результат_6,35%'!B142</f>
        <v>1170</v>
      </c>
      <c r="C47" s="32">
        <f>'I. Фін результат_8,0%'!C125</f>
        <v>-1080.4000000000001</v>
      </c>
      <c r="D47" s="32">
        <f>'I. Фін результат_8,0%'!D125</f>
        <v>-372</v>
      </c>
      <c r="E47" s="32">
        <f>'I. Фін результат_8,0%'!E125</f>
        <v>-408.7</v>
      </c>
      <c r="F47" s="32">
        <f>'I. Фін результат_8,0%'!F125</f>
        <v>-755.44000000000028</v>
      </c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 x14ac:dyDescent="0.2">
      <c r="A48" s="27" t="s">
        <v>53</v>
      </c>
      <c r="B48" s="28" t="str">
        <f>'[1]I. Фін результат_6,35%'!B143</f>
        <v>1180</v>
      </c>
      <c r="C48" s="29">
        <f>'I. Фін результат_8,0%'!C126</f>
        <v>0</v>
      </c>
      <c r="D48" s="29">
        <f>'I. Фін результат_8,0%'!D126</f>
        <v>0</v>
      </c>
      <c r="E48" s="29">
        <f>'I. Фін результат_8,0%'!E126</f>
        <v>0</v>
      </c>
      <c r="F48" s="29">
        <f>'I. Фін результат_8,0%'!F126</f>
        <v>0</v>
      </c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8.75" customHeight="1" x14ac:dyDescent="0.2">
      <c r="A49" s="30" t="s">
        <v>54</v>
      </c>
      <c r="B49" s="31" t="str">
        <f>'[1]I. Фін результат_6,35%'!B145</f>
        <v>1200</v>
      </c>
      <c r="C49" s="32">
        <f>'I. Фін результат_8,0%'!C128</f>
        <v>-1080.4000000000001</v>
      </c>
      <c r="D49" s="32">
        <f>'I. Фін результат_8,0%'!D128</f>
        <v>-372</v>
      </c>
      <c r="E49" s="32">
        <f>'I. Фін результат_8,0%'!E128</f>
        <v>-408.7</v>
      </c>
      <c r="F49" s="32">
        <f>'I. Фін результат_8,0%'!F128</f>
        <v>-755.44000000000028</v>
      </c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8.75" customHeight="1" x14ac:dyDescent="0.2">
      <c r="A50" s="27" t="s">
        <v>55</v>
      </c>
      <c r="B50" s="2">
        <f>'[1] V. Коефіцієнти'!B7</f>
        <v>5010</v>
      </c>
      <c r="C50" s="35">
        <v>1.4E-3</v>
      </c>
      <c r="D50" s="35">
        <v>1.4E-3</v>
      </c>
      <c r="E50" s="35">
        <v>1.4E-3</v>
      </c>
      <c r="F50" s="37">
        <f>' V. Коефіцієнти'!G8</f>
        <v>0</v>
      </c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8.75" customHeight="1" x14ac:dyDescent="0.2">
      <c r="A51" s="798" t="s">
        <v>56</v>
      </c>
      <c r="B51" s="798"/>
      <c r="C51" s="798"/>
      <c r="D51" s="798"/>
      <c r="E51" s="798"/>
      <c r="F51" s="798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 x14ac:dyDescent="0.3">
      <c r="A52" s="38" t="s">
        <v>57</v>
      </c>
      <c r="B52" s="39">
        <v>2100</v>
      </c>
      <c r="C52" s="29">
        <f>'ІІ. Розр. з бюджетом'!C18</f>
        <v>0</v>
      </c>
      <c r="D52" s="29">
        <f>'ІІ. Розр. з бюджетом'!D18</f>
        <v>0</v>
      </c>
      <c r="E52" s="29">
        <f>'ІІ. Розр. з бюджетом'!E18</f>
        <v>0</v>
      </c>
      <c r="F52" s="29">
        <f>'ІІ. Розр. з бюджетом'!F18</f>
        <v>0</v>
      </c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 x14ac:dyDescent="0.2">
      <c r="A53" s="40" t="s">
        <v>58</v>
      </c>
      <c r="B53" s="28" t="str">
        <f>'ІІ. Розр. з бюджетом'!B19</f>
        <v>2110</v>
      </c>
      <c r="C53" s="29">
        <f>ROUND('ІІ. Розр. з бюджетом'!C19,2)</f>
        <v>0</v>
      </c>
      <c r="D53" s="29">
        <f>ROUND('ІІ. Розр. з бюджетом'!D19,2)</f>
        <v>0</v>
      </c>
      <c r="E53" s="29">
        <f>ROUND('ІІ. Розр. з бюджетом'!E19,2)</f>
        <v>0</v>
      </c>
      <c r="F53" s="29">
        <f>ROUND('ІІ. Розр. з бюджетом'!F19,2)</f>
        <v>0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37.5" customHeight="1" x14ac:dyDescent="0.2">
      <c r="A54" s="40" t="s">
        <v>59</v>
      </c>
      <c r="B54" s="41" t="s">
        <v>60</v>
      </c>
      <c r="C54" s="29">
        <f>ROUND(SUM('ІІ. Розр. з бюджетом'!C20,'ІІ. Розр. з бюджетом'!C21),2)</f>
        <v>155.1</v>
      </c>
      <c r="D54" s="29">
        <f>ROUND(SUM('ІІ. Розр. з бюджетом'!D20,'ІІ. Розр. з бюджетом'!D21),2)</f>
        <v>404.3</v>
      </c>
      <c r="E54" s="29">
        <f>ROUND(SUM('ІІ. Розр. з бюджетом'!E20,'ІІ. Розр. з бюджетом'!E21),2)</f>
        <v>404.3</v>
      </c>
      <c r="F54" s="29">
        <f>ROUND(SUM('ІІ. Розр. з бюджетом'!F20,'ІІ. Розр. з бюджетом'!F21),2)</f>
        <v>0</v>
      </c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40.5" customHeight="1" x14ac:dyDescent="0.2">
      <c r="A55" s="40" t="s">
        <v>61</v>
      </c>
      <c r="B55" s="28" t="str">
        <f>'ІІ. Розр. з бюджетом'!B22</f>
        <v>2140</v>
      </c>
      <c r="C55" s="29">
        <f>ROUND('ІІ. Розр. з бюджетом'!C22,2)</f>
        <v>1144.5999999999999</v>
      </c>
      <c r="D55" s="29">
        <f>ROUND('ІІ. Розр. з бюджетом'!D22,2)</f>
        <v>1162.8</v>
      </c>
      <c r="E55" s="29">
        <f>ROUND('ІІ. Розр. з бюджетом'!E22,2)</f>
        <v>1162.8</v>
      </c>
      <c r="F55" s="29">
        <f>ROUND('ІІ. Розр. з бюджетом'!F22,2)</f>
        <v>1356.2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39.75" customHeight="1" x14ac:dyDescent="0.2">
      <c r="A56" s="40" t="s">
        <v>62</v>
      </c>
      <c r="B56" s="28" t="str">
        <f>'ІІ. Розр. з бюджетом'!B31</f>
        <v>2150</v>
      </c>
      <c r="C56" s="29">
        <f>ROUND('ІІ. Розр. з бюджетом'!C31,2)</f>
        <v>1239.4000000000001</v>
      </c>
      <c r="D56" s="29">
        <f>ROUND('ІІ. Розр. з бюджетом'!D31,2)</f>
        <v>1311.7</v>
      </c>
      <c r="E56" s="29">
        <f>ROUND('ІІ. Розр. з бюджетом'!E31,2)</f>
        <v>1311.7</v>
      </c>
      <c r="F56" s="29">
        <f>ROUND('ІІ. Розр. з бюджетом'!F31,2)</f>
        <v>1297.2</v>
      </c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8.75" customHeight="1" x14ac:dyDescent="0.2">
      <c r="A57" s="42" t="s">
        <v>63</v>
      </c>
      <c r="B57" s="31" t="str">
        <f>'ІІ. Розр. з бюджетом'!B32</f>
        <v>2200</v>
      </c>
      <c r="C57" s="32">
        <f>ROUND('ІІ. Розр. з бюджетом'!C32,2)</f>
        <v>2539.1</v>
      </c>
      <c r="D57" s="32">
        <f>ROUND('ІІ. Розр. з бюджетом'!D32,2)</f>
        <v>2878.8</v>
      </c>
      <c r="E57" s="32">
        <f>ROUND('ІІ. Розр. з бюджетом'!E32,2)</f>
        <v>2878.8</v>
      </c>
      <c r="F57" s="32">
        <f>ROUND('ІІ. Розр. з бюджетом'!F32,2)</f>
        <v>2653.4</v>
      </c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8.75" customHeight="1" x14ac:dyDescent="0.2">
      <c r="A58" s="798" t="s">
        <v>64</v>
      </c>
      <c r="B58" s="798"/>
      <c r="C58" s="798"/>
      <c r="D58" s="798"/>
      <c r="E58" s="798"/>
      <c r="F58" s="798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8.75" customHeight="1" x14ac:dyDescent="0.2">
      <c r="A59" s="40" t="s">
        <v>65</v>
      </c>
      <c r="B59" s="2">
        <v>3600</v>
      </c>
      <c r="C59" s="43">
        <f>ROUND('ІІІ. Рух грош. коштів'!C74,2)</f>
        <v>1024.7</v>
      </c>
      <c r="D59" s="43">
        <f>ROUND('ІІІ. Рух грош. коштів'!D74,2)</f>
        <v>504.3</v>
      </c>
      <c r="E59" s="43">
        <f>ROUND('ІІІ. Рух грош. коштів'!E74,2)</f>
        <v>504.3</v>
      </c>
      <c r="F59" s="43">
        <f>'ІІІ. Рух грош. коштів'!F74</f>
        <v>1637.9</v>
      </c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8.75" customHeight="1" x14ac:dyDescent="0.2">
      <c r="A60" s="40" t="s">
        <v>66</v>
      </c>
      <c r="B60" s="2">
        <v>3620</v>
      </c>
      <c r="C60" s="43">
        <f>ROUND('ІІІ. Рух грош. коштів'!C76,2)</f>
        <v>1582.3</v>
      </c>
      <c r="D60" s="43">
        <f>ROUND('ІІІ. Рух грош. коштів'!D76,2)</f>
        <v>132.30000000000001</v>
      </c>
      <c r="E60" s="43">
        <f>ROUND('ІІІ. Рух грош. коштів'!E76,2)</f>
        <v>95.6</v>
      </c>
      <c r="F60" s="43">
        <f>'ІІІ. Рух грош. коштів'!F76</f>
        <v>882.50000000000011</v>
      </c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8.75" customHeight="1" x14ac:dyDescent="0.2">
      <c r="A61" s="42" t="s">
        <v>67</v>
      </c>
      <c r="B61" s="44">
        <v>3630</v>
      </c>
      <c r="C61" s="45">
        <f>ROUND('ІІІ. Рух грош. коштів'!C77,2)</f>
        <v>557.6</v>
      </c>
      <c r="D61" s="45">
        <f>ROUND('ІІІ. Рух грош. коштів'!D77,2)</f>
        <v>-372</v>
      </c>
      <c r="E61" s="45">
        <f>ROUND('ІІІ. Рух грош. коштів'!E77,2)</f>
        <v>-408.7</v>
      </c>
      <c r="F61" s="45">
        <f>ROUND('ІІІ. Рух грош. коштів'!F77,2)</f>
        <v>-755.4</v>
      </c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8.75" customHeight="1" x14ac:dyDescent="0.3">
      <c r="A62" s="799" t="s">
        <v>68</v>
      </c>
      <c r="B62" s="799"/>
      <c r="C62" s="799"/>
      <c r="D62" s="799"/>
      <c r="E62" s="799"/>
      <c r="F62" s="799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8.75" customHeight="1" x14ac:dyDescent="0.2">
      <c r="A63" s="40" t="s">
        <v>69</v>
      </c>
      <c r="B63" s="2">
        <f>'IV. Кап. інвестиції'!B5</f>
        <v>4000</v>
      </c>
      <c r="C63" s="43">
        <f>ROUND('IV. Кап. інвестиції'!C5,2)</f>
        <v>0</v>
      </c>
      <c r="D63" s="43">
        <f>ROUND('IV. Кап. інвестиції'!D5,2)</f>
        <v>0</v>
      </c>
      <c r="E63" s="46">
        <f>ROUND('IV. Кап. інвестиції'!E5,2)</f>
        <v>0</v>
      </c>
      <c r="F63" s="46">
        <f>'IV. Кап. інвестиції'!F5</f>
        <v>0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8.75" customHeight="1" x14ac:dyDescent="0.2">
      <c r="A64" s="800" t="s">
        <v>70</v>
      </c>
      <c r="B64" s="800"/>
      <c r="C64" s="800"/>
      <c r="D64" s="800"/>
      <c r="E64" s="800"/>
      <c r="F64" s="80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8.75" customHeight="1" x14ac:dyDescent="0.2">
      <c r="A65" s="47" t="s">
        <v>71</v>
      </c>
      <c r="B65" s="2">
        <v>5000</v>
      </c>
      <c r="C65" s="48">
        <f>' V. Коефіцієнти'!D7</f>
        <v>0.1195</v>
      </c>
      <c r="D65" s="49">
        <f>' V. Коефіцієнти'!E7</f>
        <v>-0.10009999999999999</v>
      </c>
      <c r="E65" s="36">
        <f>' V. Коефіцієнти'!F7</f>
        <v>-8.6230876216968011E-2</v>
      </c>
      <c r="F65" s="49">
        <f>' V. Коефіцієнти'!G7</f>
        <v>-0.17511358368103855</v>
      </c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8.75" customHeight="1" x14ac:dyDescent="0.2">
      <c r="A66" s="40" t="s">
        <v>72</v>
      </c>
      <c r="B66" s="2">
        <v>5100</v>
      </c>
      <c r="C66" s="50">
        <f>' V. Коефіцієнти'!D10</f>
        <v>1.1299999999999999</v>
      </c>
      <c r="D66" s="43">
        <f>' V. Коефіцієнти'!E10</f>
        <v>57.295945945945938</v>
      </c>
      <c r="E66" s="43">
        <f>' V. Коефіцієнти'!F10</f>
        <v>57.295945945945938</v>
      </c>
      <c r="F66" s="43">
        <f>' V. Коефіцієнти'!G10</f>
        <v>46.849723756906073</v>
      </c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8.75" customHeight="1" x14ac:dyDescent="0.2">
      <c r="A67" s="40" t="s">
        <v>73</v>
      </c>
      <c r="B67" s="2">
        <v>5120</v>
      </c>
      <c r="C67" s="51">
        <f>' V. Коефіцієнти'!D12</f>
        <v>10.119999999999999</v>
      </c>
      <c r="D67" s="43">
        <f>' V. Коефіцієнти'!E12</f>
        <v>0</v>
      </c>
      <c r="E67" s="43">
        <f>' V. Коефіцієнти'!F12</f>
        <v>0</v>
      </c>
      <c r="F67" s="43">
        <f>' V. Коефіцієнти'!G12</f>
        <v>0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8.75" customHeight="1" x14ac:dyDescent="0.2">
      <c r="A68" s="795" t="s">
        <v>74</v>
      </c>
      <c r="B68" s="795"/>
      <c r="C68" s="795"/>
      <c r="D68" s="795"/>
      <c r="E68" s="795"/>
      <c r="F68" s="795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8.75" customHeight="1" x14ac:dyDescent="0.2">
      <c r="A69" s="52" t="s">
        <v>75</v>
      </c>
      <c r="B69" s="2">
        <v>6000</v>
      </c>
      <c r="C69" s="43">
        <v>3492.3</v>
      </c>
      <c r="D69" s="43">
        <v>943.9</v>
      </c>
      <c r="E69" s="43">
        <v>943.9</v>
      </c>
      <c r="F69" s="43">
        <v>747.8</v>
      </c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8.75" customHeight="1" x14ac:dyDescent="0.2">
      <c r="A70" s="52" t="s">
        <v>76</v>
      </c>
      <c r="B70" s="2">
        <v>6010</v>
      </c>
      <c r="C70" s="29">
        <v>6557.5</v>
      </c>
      <c r="D70" s="43">
        <v>3370.1</v>
      </c>
      <c r="E70" s="43">
        <v>3370.1</v>
      </c>
      <c r="F70" s="43">
        <v>2954</v>
      </c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8.75" customHeight="1" x14ac:dyDescent="0.2">
      <c r="A71" s="52" t="s">
        <v>77</v>
      </c>
      <c r="B71" s="2">
        <v>6020</v>
      </c>
      <c r="C71" s="43">
        <v>4526.7</v>
      </c>
      <c r="D71" s="43">
        <v>1973.9</v>
      </c>
      <c r="E71" s="43">
        <v>1973.9</v>
      </c>
      <c r="F71" s="43">
        <v>1712.5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8.75" customHeight="1" x14ac:dyDescent="0.2">
      <c r="A72" s="53" t="s">
        <v>78</v>
      </c>
      <c r="B72" s="2">
        <v>6030</v>
      </c>
      <c r="C72" s="45">
        <f>SUM(C69:C70)</f>
        <v>10049.799999999999</v>
      </c>
      <c r="D72" s="45">
        <f>SUM(D69:D70)</f>
        <v>4314</v>
      </c>
      <c r="E72" s="45">
        <f>ROUND(E69+E70,1)</f>
        <v>4314</v>
      </c>
      <c r="F72" s="45">
        <f>ROUND(F69+F70,1)</f>
        <v>3701.8</v>
      </c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</row>
    <row r="73" spans="1:26" ht="18.75" customHeight="1" x14ac:dyDescent="0.2">
      <c r="A73" s="52" t="s">
        <v>79</v>
      </c>
      <c r="B73" s="2">
        <v>6040</v>
      </c>
      <c r="C73" s="43">
        <v>184.3</v>
      </c>
      <c r="D73" s="55">
        <v>49.4</v>
      </c>
      <c r="E73" s="55">
        <v>49.4</v>
      </c>
      <c r="F73" s="55">
        <v>29.7</v>
      </c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8.75" customHeight="1" x14ac:dyDescent="0.2">
      <c r="A74" s="52" t="s">
        <v>80</v>
      </c>
      <c r="B74" s="2">
        <v>6050</v>
      </c>
      <c r="C74" s="43">
        <v>4644.8</v>
      </c>
      <c r="D74" s="43">
        <v>24.6</v>
      </c>
      <c r="E74" s="43">
        <v>24.6</v>
      </c>
      <c r="F74" s="43">
        <v>60.8</v>
      </c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8.75" customHeight="1" x14ac:dyDescent="0.2">
      <c r="A75" s="53" t="s">
        <v>81</v>
      </c>
      <c r="B75" s="2">
        <v>6060</v>
      </c>
      <c r="C75" s="45">
        <f>ROUND(SUM(C73:C74),2)</f>
        <v>4829.1000000000004</v>
      </c>
      <c r="D75" s="45">
        <f>ROUND(SUM(D73:D74),2)</f>
        <v>74</v>
      </c>
      <c r="E75" s="45">
        <f>ROUND(SUM(E73:E74),2)</f>
        <v>74</v>
      </c>
      <c r="F75" s="45">
        <f>ROUND(SUM(F73:F74),2)</f>
        <v>90.5</v>
      </c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</row>
    <row r="76" spans="1:26" ht="18.75" customHeight="1" x14ac:dyDescent="0.2">
      <c r="A76" s="52" t="s">
        <v>82</v>
      </c>
      <c r="B76" s="2">
        <v>6070</v>
      </c>
      <c r="C76" s="56">
        <v>0</v>
      </c>
      <c r="D76" s="56">
        <v>0</v>
      </c>
      <c r="E76" s="56">
        <v>0</v>
      </c>
      <c r="F76" s="56">
        <v>0</v>
      </c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8.75" customHeight="1" x14ac:dyDescent="0.2">
      <c r="A77" s="52" t="s">
        <v>83</v>
      </c>
      <c r="B77" s="2">
        <v>6080</v>
      </c>
      <c r="C77" s="56">
        <v>0</v>
      </c>
      <c r="D77" s="56">
        <v>0</v>
      </c>
      <c r="E77" s="56">
        <v>0</v>
      </c>
      <c r="F77" s="56">
        <v>0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8.75" customHeight="1" x14ac:dyDescent="0.2">
      <c r="A78" s="53" t="s">
        <v>84</v>
      </c>
      <c r="B78" s="2">
        <v>6090</v>
      </c>
      <c r="C78" s="45">
        <f>C72-C75</f>
        <v>5220.6999999999989</v>
      </c>
      <c r="D78" s="45">
        <f>D72-D75-0.1</f>
        <v>4239.8999999999996</v>
      </c>
      <c r="E78" s="45">
        <f>E72-E75-0.1</f>
        <v>4239.8999999999996</v>
      </c>
      <c r="F78" s="45">
        <v>4239.8999999999996</v>
      </c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spans="1:26" ht="18.75" customHeight="1" x14ac:dyDescent="0.2">
      <c r="A79" s="57"/>
      <c r="B79" s="17"/>
      <c r="C79" s="58"/>
      <c r="D79" s="58"/>
      <c r="E79" s="59"/>
      <c r="F79" s="59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8.75" customHeight="1" x14ac:dyDescent="0.3">
      <c r="A80" s="60"/>
      <c r="B80" s="17"/>
      <c r="C80" s="61"/>
      <c r="D80" s="62"/>
      <c r="E80" s="62"/>
      <c r="F80" s="62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2.75" customHeight="1" x14ac:dyDescent="0.2">
      <c r="A81" s="17"/>
      <c r="B81" s="63"/>
      <c r="C81" s="796"/>
      <c r="D81" s="796"/>
      <c r="E81" s="796"/>
      <c r="F81" s="796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8.75" customHeight="1" x14ac:dyDescent="0.3">
      <c r="A82" s="64" t="s">
        <v>85</v>
      </c>
      <c r="B82" s="65"/>
      <c r="C82" s="66"/>
      <c r="D82" s="66"/>
      <c r="E82" s="67" t="s">
        <v>86</v>
      </c>
      <c r="F82" s="67"/>
      <c r="G82" s="67"/>
      <c r="I82" s="67"/>
      <c r="J82" s="67"/>
      <c r="K82" s="67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 x14ac:dyDescent="0.2"/>
    <row r="84" spans="1:26" ht="15.75" customHeight="1" x14ac:dyDescent="0.2"/>
    <row r="85" spans="1:26" ht="15.75" customHeight="1" x14ac:dyDescent="0.2"/>
    <row r="86" spans="1:26" ht="15.75" customHeight="1" x14ac:dyDescent="0.2"/>
    <row r="87" spans="1:26" ht="15.75" customHeight="1" x14ac:dyDescent="0.2"/>
    <row r="88" spans="1:26" ht="15.75" customHeight="1" x14ac:dyDescent="0.2"/>
    <row r="89" spans="1:26" ht="15.75" customHeight="1" x14ac:dyDescent="0.2"/>
    <row r="90" spans="1:26" ht="15.75" customHeight="1" x14ac:dyDescent="0.2"/>
    <row r="91" spans="1:26" ht="15.75" customHeight="1" x14ac:dyDescent="0.2"/>
    <row r="92" spans="1:26" ht="15.75" customHeight="1" x14ac:dyDescent="0.2"/>
    <row r="93" spans="1:26" ht="15.75" customHeight="1" x14ac:dyDescent="0.2"/>
    <row r="94" spans="1:26" ht="15.75" customHeight="1" x14ac:dyDescent="0.2"/>
    <row r="95" spans="1:26" ht="15.75" customHeight="1" x14ac:dyDescent="0.2"/>
    <row r="96" spans="1:2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</sheetData>
  <mergeCells count="35">
    <mergeCell ref="A68:F68"/>
    <mergeCell ref="C81:F81"/>
    <mergeCell ref="A37:F37"/>
    <mergeCell ref="A51:F51"/>
    <mergeCell ref="A58:F58"/>
    <mergeCell ref="A62:F62"/>
    <mergeCell ref="A64:F64"/>
    <mergeCell ref="A33:F33"/>
    <mergeCell ref="A34:A35"/>
    <mergeCell ref="B34:B35"/>
    <mergeCell ref="C34:C35"/>
    <mergeCell ref="D34:D35"/>
    <mergeCell ref="E34:E35"/>
    <mergeCell ref="F34:F35"/>
    <mergeCell ref="E25:F25"/>
    <mergeCell ref="E26:F26"/>
    <mergeCell ref="A27:D27"/>
    <mergeCell ref="E27:F27"/>
    <mergeCell ref="A32:F32"/>
    <mergeCell ref="A21:D21"/>
    <mergeCell ref="C22:E22"/>
    <mergeCell ref="C23:E23"/>
    <mergeCell ref="A24:B24"/>
    <mergeCell ref="E24:F24"/>
    <mergeCell ref="F4:G4"/>
    <mergeCell ref="A8:B8"/>
    <mergeCell ref="A9:B9"/>
    <mergeCell ref="A11:B11"/>
    <mergeCell ref="B15:E15"/>
    <mergeCell ref="A1:B1"/>
    <mergeCell ref="D1:F1"/>
    <mergeCell ref="A2:B2"/>
    <mergeCell ref="D2:F2"/>
    <mergeCell ref="A3:B3"/>
    <mergeCell ref="D3:F3"/>
  </mergeCells>
  <printOptions horizontalCentered="1"/>
  <pageMargins left="0.78749999999999998" right="0.31527777777777799" top="0.59027777777777801" bottom="0.39374999999999999" header="0.51180555555555496" footer="0.51180555555555496"/>
  <pageSetup paperSize="9" scale="65" firstPageNumber="0" orientation="portrait" horizontalDpi="300" verticalDpi="300" r:id="rId1"/>
  <rowBreaks count="1" manualBreakCount="1">
    <brk id="2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99"/>
  </sheetPr>
  <dimension ref="A1:AO989"/>
  <sheetViews>
    <sheetView view="pageBreakPreview" topLeftCell="A52" zoomScaleNormal="100" workbookViewId="0">
      <selection activeCell="B68" sqref="B68:J68"/>
    </sheetView>
  </sheetViews>
  <sheetFormatPr defaultRowHeight="12.75" x14ac:dyDescent="0.2"/>
  <cols>
    <col min="1" max="1" width="4" customWidth="1"/>
    <col min="2" max="2" width="18" customWidth="1"/>
    <col min="3" max="3" width="6.42578125" customWidth="1"/>
    <col min="4" max="4" width="4.85546875" customWidth="1"/>
    <col min="5" max="6" width="5.42578125" customWidth="1"/>
    <col min="7" max="7" width="12.85546875" customWidth="1"/>
    <col min="8" max="8" width="9.7109375" customWidth="1"/>
    <col min="9" max="9" width="9.85546875" customWidth="1"/>
    <col min="10" max="10" width="8.42578125" customWidth="1"/>
    <col min="11" max="11" width="9.42578125" hidden="1" customWidth="1"/>
    <col min="12" max="12" width="5.42578125" hidden="1" customWidth="1"/>
    <col min="13" max="13" width="5.140625" hidden="1" customWidth="1"/>
    <col min="14" max="14" width="6" hidden="1" customWidth="1"/>
    <col min="15" max="15" width="3" hidden="1" customWidth="1"/>
    <col min="16" max="16" width="5.85546875" hidden="1" customWidth="1"/>
    <col min="17" max="17" width="4.42578125" hidden="1" customWidth="1"/>
    <col min="18" max="18" width="5.85546875" hidden="1" customWidth="1"/>
    <col min="19" max="19" width="4.85546875" hidden="1" customWidth="1"/>
    <col min="20" max="20" width="9.42578125" customWidth="1"/>
    <col min="21" max="21" width="5" customWidth="1"/>
    <col min="22" max="22" width="7.7109375" customWidth="1"/>
    <col min="23" max="23" width="7" customWidth="1"/>
    <col min="24" max="24" width="6.140625" customWidth="1"/>
    <col min="25" max="25" width="6" customWidth="1"/>
    <col min="26" max="26" width="5" customWidth="1"/>
    <col min="27" max="27" width="6.85546875" customWidth="1"/>
    <col min="28" max="29" width="7" customWidth="1"/>
    <col min="30" max="31" width="5.42578125" customWidth="1"/>
    <col min="32" max="35" width="8.85546875" customWidth="1"/>
    <col min="36" max="36" width="11" customWidth="1"/>
    <col min="37" max="37" width="13" customWidth="1"/>
    <col min="38" max="38" width="11.7109375" customWidth="1"/>
    <col min="39" max="39" width="11" customWidth="1"/>
    <col min="40" max="40" width="8.85546875" customWidth="1"/>
    <col min="41" max="1025" width="12.140625" customWidth="1"/>
  </cols>
  <sheetData>
    <row r="1" spans="1:40" ht="18.75" customHeight="1" x14ac:dyDescent="0.2">
      <c r="A1" s="403"/>
      <c r="B1" s="503" t="s">
        <v>669</v>
      </c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4"/>
      <c r="P1" s="504"/>
      <c r="Q1" s="504"/>
      <c r="R1" s="504"/>
      <c r="S1" s="504"/>
      <c r="T1" s="504"/>
      <c r="U1" s="504"/>
      <c r="V1" s="504"/>
      <c r="W1" s="504"/>
      <c r="X1" s="504"/>
      <c r="Y1" s="504"/>
      <c r="Z1" s="504"/>
      <c r="AA1" s="504"/>
      <c r="AB1" s="504"/>
      <c r="AC1" s="504"/>
      <c r="AD1" s="504"/>
      <c r="AE1" s="504"/>
      <c r="AF1" s="403"/>
      <c r="AG1" s="10"/>
      <c r="AH1" s="10"/>
      <c r="AI1" s="10"/>
      <c r="AJ1" s="10"/>
      <c r="AK1" s="10"/>
      <c r="AL1" s="10"/>
      <c r="AM1" s="10"/>
      <c r="AN1" s="10"/>
    </row>
    <row r="2" spans="1:40" ht="29.25" customHeight="1" x14ac:dyDescent="0.2">
      <c r="A2" s="290"/>
      <c r="B2" s="505"/>
      <c r="C2" s="815"/>
      <c r="D2" s="815"/>
      <c r="E2" s="815"/>
      <c r="F2" s="815"/>
      <c r="G2" s="815"/>
      <c r="H2" s="815"/>
      <c r="I2" s="815"/>
      <c r="J2" s="815"/>
      <c r="K2" s="815"/>
      <c r="L2" s="815"/>
      <c r="M2" s="815"/>
      <c r="N2" s="815"/>
      <c r="O2" s="815"/>
      <c r="P2" s="815"/>
      <c r="Q2" s="815" t="s">
        <v>670</v>
      </c>
      <c r="R2" s="815"/>
      <c r="S2" s="815"/>
      <c r="T2" s="815" t="s">
        <v>671</v>
      </c>
      <c r="U2" s="815"/>
      <c r="V2" s="815"/>
      <c r="W2" s="815" t="s">
        <v>672</v>
      </c>
      <c r="X2" s="815"/>
      <c r="Y2" s="815"/>
      <c r="Z2" s="917" t="s">
        <v>673</v>
      </c>
      <c r="AA2" s="917"/>
      <c r="AB2" s="917"/>
      <c r="AC2" s="917" t="s">
        <v>674</v>
      </c>
      <c r="AD2" s="917"/>
      <c r="AE2" s="917"/>
      <c r="AF2" s="403"/>
      <c r="AG2" s="10"/>
      <c r="AH2" s="10"/>
      <c r="AI2" s="10"/>
      <c r="AJ2" s="10"/>
      <c r="AK2" s="10"/>
      <c r="AL2" s="10"/>
      <c r="AM2" s="10"/>
      <c r="AN2" s="10"/>
    </row>
    <row r="3" spans="1:40" ht="12.75" customHeight="1" x14ac:dyDescent="0.2">
      <c r="A3" s="505">
        <v>1</v>
      </c>
      <c r="B3" s="507">
        <v>2</v>
      </c>
      <c r="C3" s="815">
        <v>3</v>
      </c>
      <c r="D3" s="815"/>
      <c r="E3" s="815"/>
      <c r="F3" s="815"/>
      <c r="G3" s="815">
        <v>4</v>
      </c>
      <c r="H3" s="815"/>
      <c r="I3" s="815"/>
      <c r="J3" s="815"/>
      <c r="K3" s="815"/>
      <c r="L3" s="815"/>
      <c r="M3" s="815">
        <v>5</v>
      </c>
      <c r="N3" s="815"/>
      <c r="O3" s="815"/>
      <c r="P3" s="815"/>
      <c r="Q3" s="815">
        <v>6</v>
      </c>
      <c r="R3" s="815"/>
      <c r="S3" s="815"/>
      <c r="T3" s="815">
        <v>7</v>
      </c>
      <c r="U3" s="815"/>
      <c r="V3" s="815"/>
      <c r="W3" s="917">
        <v>8</v>
      </c>
      <c r="X3" s="917"/>
      <c r="Y3" s="917"/>
      <c r="Z3" s="917">
        <v>9</v>
      </c>
      <c r="AA3" s="917"/>
      <c r="AB3" s="917"/>
      <c r="AC3" s="917">
        <v>10</v>
      </c>
      <c r="AD3" s="917"/>
      <c r="AE3" s="917"/>
      <c r="AF3" s="403"/>
      <c r="AG3" s="10"/>
      <c r="AH3" s="10"/>
      <c r="AI3" s="10"/>
      <c r="AJ3" s="10"/>
      <c r="AK3" s="10"/>
      <c r="AL3" s="10"/>
      <c r="AM3" s="10"/>
      <c r="AN3" s="10"/>
    </row>
    <row r="4" spans="1:40" ht="7.5" customHeight="1" x14ac:dyDescent="0.2">
      <c r="A4" s="505"/>
      <c r="B4" s="507"/>
      <c r="C4" s="815"/>
      <c r="D4" s="815"/>
      <c r="E4" s="815"/>
      <c r="F4" s="815"/>
      <c r="G4" s="918"/>
      <c r="H4" s="918"/>
      <c r="I4" s="918"/>
      <c r="J4" s="918"/>
      <c r="K4" s="918"/>
      <c r="L4" s="918"/>
      <c r="M4" s="919">
        <f>ROUND(SUM(Q4,T4,W4,Z4,AC4),2)</f>
        <v>0</v>
      </c>
      <c r="N4" s="919"/>
      <c r="O4" s="919"/>
      <c r="P4" s="919"/>
      <c r="Q4" s="920"/>
      <c r="R4" s="920"/>
      <c r="S4" s="920"/>
      <c r="T4" s="920"/>
      <c r="U4" s="920"/>
      <c r="V4" s="920"/>
      <c r="W4" s="920"/>
      <c r="X4" s="920"/>
      <c r="Y4" s="920"/>
      <c r="Z4" s="920"/>
      <c r="AA4" s="920"/>
      <c r="AB4" s="920"/>
      <c r="AC4" s="920"/>
      <c r="AD4" s="920"/>
      <c r="AE4" s="920"/>
      <c r="AF4" s="403"/>
      <c r="AG4" s="10"/>
      <c r="AH4" s="10"/>
      <c r="AI4" s="10"/>
      <c r="AJ4" s="10"/>
      <c r="AK4" s="10"/>
      <c r="AL4" s="10"/>
      <c r="AM4" s="10"/>
      <c r="AN4" s="10"/>
    </row>
    <row r="5" spans="1:40" ht="7.5" customHeight="1" x14ac:dyDescent="0.2">
      <c r="A5" s="505"/>
      <c r="B5" s="507"/>
      <c r="C5" s="815"/>
      <c r="D5" s="815"/>
      <c r="E5" s="815"/>
      <c r="F5" s="815"/>
      <c r="G5" s="918"/>
      <c r="H5" s="918"/>
      <c r="I5" s="918"/>
      <c r="J5" s="918"/>
      <c r="K5" s="918"/>
      <c r="L5" s="918"/>
      <c r="M5" s="919">
        <f>ROUND(SUM(Q5,T5,W5,Z5,AC5),2)</f>
        <v>0</v>
      </c>
      <c r="N5" s="919"/>
      <c r="O5" s="919"/>
      <c r="P5" s="919"/>
      <c r="Q5" s="920"/>
      <c r="R5" s="920"/>
      <c r="S5" s="920"/>
      <c r="T5" s="920"/>
      <c r="U5" s="920"/>
      <c r="V5" s="920"/>
      <c r="W5" s="920"/>
      <c r="X5" s="920"/>
      <c r="Y5" s="920"/>
      <c r="Z5" s="920"/>
      <c r="AA5" s="920"/>
      <c r="AB5" s="920"/>
      <c r="AC5" s="920"/>
      <c r="AD5" s="920"/>
      <c r="AE5" s="920"/>
      <c r="AF5" s="403"/>
      <c r="AG5" s="10"/>
      <c r="AH5" s="10"/>
      <c r="AI5" s="10"/>
      <c r="AJ5" s="10"/>
      <c r="AK5" s="10"/>
      <c r="AL5" s="10"/>
      <c r="AM5" s="10"/>
      <c r="AN5" s="10"/>
    </row>
    <row r="6" spans="1:40" ht="7.5" customHeight="1" x14ac:dyDescent="0.2">
      <c r="A6" s="505"/>
      <c r="B6" s="507"/>
      <c r="C6" s="815"/>
      <c r="D6" s="815"/>
      <c r="E6" s="815"/>
      <c r="F6" s="815"/>
      <c r="G6" s="918"/>
      <c r="H6" s="918"/>
      <c r="I6" s="918"/>
      <c r="J6" s="918"/>
      <c r="K6" s="918"/>
      <c r="L6" s="918"/>
      <c r="M6" s="919">
        <f>ROUND(SUM(Q6,T6,W6,Z6,AC6),2)</f>
        <v>0</v>
      </c>
      <c r="N6" s="919"/>
      <c r="O6" s="919"/>
      <c r="P6" s="919"/>
      <c r="Q6" s="920"/>
      <c r="R6" s="920"/>
      <c r="S6" s="920"/>
      <c r="T6" s="920"/>
      <c r="U6" s="920"/>
      <c r="V6" s="920"/>
      <c r="W6" s="920"/>
      <c r="X6" s="920"/>
      <c r="Y6" s="920"/>
      <c r="Z6" s="920"/>
      <c r="AA6" s="920"/>
      <c r="AB6" s="920"/>
      <c r="AC6" s="920"/>
      <c r="AD6" s="920"/>
      <c r="AE6" s="920"/>
      <c r="AF6" s="403"/>
      <c r="AG6" s="10"/>
      <c r="AH6" s="10"/>
      <c r="AI6" s="10"/>
      <c r="AJ6" s="10"/>
      <c r="AK6" s="10"/>
      <c r="AL6" s="10"/>
      <c r="AM6" s="10"/>
      <c r="AN6" s="10"/>
    </row>
    <row r="7" spans="1:40" ht="8.25" customHeight="1" x14ac:dyDescent="0.2">
      <c r="A7" s="505"/>
      <c r="B7" s="507"/>
      <c r="C7" s="815"/>
      <c r="D7" s="815"/>
      <c r="E7" s="815"/>
      <c r="F7" s="815"/>
      <c r="G7" s="918"/>
      <c r="H7" s="918"/>
      <c r="I7" s="918"/>
      <c r="J7" s="918"/>
      <c r="K7" s="918"/>
      <c r="L7" s="918"/>
      <c r="M7" s="919">
        <f>ROUND(SUM(Q7,T7,W7,Z7,AC7),2)</f>
        <v>0</v>
      </c>
      <c r="N7" s="919"/>
      <c r="O7" s="919"/>
      <c r="P7" s="919"/>
      <c r="Q7" s="920"/>
      <c r="R7" s="920"/>
      <c r="S7" s="920"/>
      <c r="T7" s="920"/>
      <c r="U7" s="920"/>
      <c r="V7" s="920"/>
      <c r="W7" s="920"/>
      <c r="X7" s="920"/>
      <c r="Y7" s="920"/>
      <c r="Z7" s="920"/>
      <c r="AA7" s="920"/>
      <c r="AB7" s="920"/>
      <c r="AC7" s="920"/>
      <c r="AD7" s="920"/>
      <c r="AE7" s="920"/>
      <c r="AF7" s="403"/>
      <c r="AG7" s="10"/>
      <c r="AH7" s="10"/>
      <c r="AI7" s="10"/>
      <c r="AJ7" s="10"/>
      <c r="AK7" s="10"/>
      <c r="AL7" s="10"/>
      <c r="AM7" s="10"/>
      <c r="AN7" s="10"/>
    </row>
    <row r="8" spans="1:40" ht="15" customHeight="1" x14ac:dyDescent="0.2">
      <c r="A8" s="921" t="s">
        <v>337</v>
      </c>
      <c r="B8" s="921"/>
      <c r="C8" s="921"/>
      <c r="D8" s="921"/>
      <c r="E8" s="921"/>
      <c r="F8" s="921"/>
      <c r="G8" s="921"/>
      <c r="H8" s="921"/>
      <c r="I8" s="921"/>
      <c r="J8" s="921"/>
      <c r="K8" s="921"/>
      <c r="L8" s="921"/>
      <c r="M8" s="919">
        <f>ROUND(SUM(M4:P7),2)</f>
        <v>0</v>
      </c>
      <c r="N8" s="919"/>
      <c r="O8" s="919"/>
      <c r="P8" s="919"/>
      <c r="Q8" s="919">
        <f>ROUND(SUM(Q4:S7),2)</f>
        <v>0</v>
      </c>
      <c r="R8" s="919"/>
      <c r="S8" s="919"/>
      <c r="T8" s="919">
        <f>ROUND(SUM(T4:V7),2)</f>
        <v>0</v>
      </c>
      <c r="U8" s="919"/>
      <c r="V8" s="919"/>
      <c r="W8" s="919">
        <f>ROUND(SUM(W4:Y7),2)</f>
        <v>0</v>
      </c>
      <c r="X8" s="919"/>
      <c r="Y8" s="919"/>
      <c r="Z8" s="919">
        <f>ROUND(SUM(Z4:AB7),2)</f>
        <v>0</v>
      </c>
      <c r="AA8" s="919"/>
      <c r="AB8" s="919"/>
      <c r="AC8" s="919">
        <f>ROUND(SUM(AC4:AE7),2)</f>
        <v>0</v>
      </c>
      <c r="AD8" s="919"/>
      <c r="AE8" s="919"/>
      <c r="AF8" s="403"/>
      <c r="AG8" s="10"/>
      <c r="AH8" s="10"/>
      <c r="AI8" s="10"/>
      <c r="AJ8" s="10"/>
      <c r="AK8" s="10"/>
      <c r="AL8" s="10"/>
      <c r="AM8" s="10"/>
      <c r="AN8" s="10"/>
    </row>
    <row r="9" spans="1:40" ht="19.5" customHeight="1" x14ac:dyDescent="0.2">
      <c r="A9" s="503"/>
      <c r="B9" s="503" t="s">
        <v>675</v>
      </c>
      <c r="C9" s="503"/>
      <c r="D9" s="503"/>
      <c r="E9" s="503"/>
      <c r="F9" s="503"/>
      <c r="G9" s="503"/>
      <c r="H9" s="503"/>
      <c r="I9" s="503"/>
      <c r="J9" s="503"/>
      <c r="K9" s="503"/>
      <c r="L9" s="503"/>
      <c r="M9" s="503"/>
      <c r="N9" s="503"/>
      <c r="O9" s="503"/>
      <c r="P9" s="503"/>
      <c r="Q9" s="503"/>
      <c r="R9" s="503"/>
      <c r="S9" s="503"/>
      <c r="T9" s="503"/>
      <c r="U9" s="503"/>
      <c r="V9" s="503"/>
      <c r="W9" s="503"/>
      <c r="X9" s="503"/>
      <c r="Y9" s="503"/>
      <c r="Z9" s="503"/>
      <c r="AA9" s="503"/>
      <c r="AB9" s="503"/>
      <c r="AC9" s="503"/>
      <c r="AD9" s="503"/>
      <c r="AE9" s="503"/>
      <c r="AF9" s="503"/>
      <c r="AG9" s="510"/>
      <c r="AH9" s="510"/>
      <c r="AI9" s="510"/>
      <c r="AJ9" s="510"/>
      <c r="AK9" s="510"/>
      <c r="AL9" s="510"/>
      <c r="AM9" s="510"/>
      <c r="AN9" s="510"/>
    </row>
    <row r="10" spans="1:40" ht="18.75" customHeight="1" x14ac:dyDescent="0.2">
      <c r="A10" s="815" t="s">
        <v>676</v>
      </c>
      <c r="B10" s="921" t="s">
        <v>677</v>
      </c>
      <c r="C10" s="815" t="s">
        <v>678</v>
      </c>
      <c r="D10" s="815"/>
      <c r="E10" s="815"/>
      <c r="F10" s="815"/>
      <c r="G10" s="815" t="s">
        <v>679</v>
      </c>
      <c r="H10" s="815"/>
      <c r="I10" s="815"/>
      <c r="J10" s="815"/>
      <c r="K10" s="815"/>
      <c r="L10" s="815"/>
      <c r="M10" s="815"/>
      <c r="N10" s="815"/>
      <c r="O10" s="815"/>
      <c r="P10" s="815"/>
      <c r="Q10" s="815" t="s">
        <v>680</v>
      </c>
      <c r="R10" s="815"/>
      <c r="S10" s="815"/>
      <c r="T10" s="815"/>
      <c r="U10" s="815"/>
      <c r="V10" s="917" t="s">
        <v>681</v>
      </c>
      <c r="W10" s="917"/>
      <c r="X10" s="917"/>
      <c r="Y10" s="917"/>
      <c r="Z10" s="917"/>
      <c r="AA10" s="917"/>
      <c r="AB10" s="917"/>
      <c r="AC10" s="917"/>
      <c r="AD10" s="917"/>
      <c r="AE10" s="917"/>
      <c r="AF10" s="403"/>
      <c r="AG10" s="10"/>
      <c r="AH10" s="10"/>
      <c r="AI10" s="10"/>
      <c r="AJ10" s="10"/>
      <c r="AK10" s="10"/>
      <c r="AL10" s="10"/>
      <c r="AM10" s="10"/>
      <c r="AN10" s="10"/>
    </row>
    <row r="11" spans="1:40" ht="12.75" customHeight="1" x14ac:dyDescent="0.2">
      <c r="A11" s="815"/>
      <c r="B11" s="815"/>
      <c r="C11" s="815"/>
      <c r="D11" s="815"/>
      <c r="E11" s="815"/>
      <c r="F11" s="815"/>
      <c r="G11" s="815"/>
      <c r="H11" s="815"/>
      <c r="I11" s="815"/>
      <c r="J11" s="815"/>
      <c r="K11" s="815"/>
      <c r="L11" s="815"/>
      <c r="M11" s="815"/>
      <c r="N11" s="815"/>
      <c r="O11" s="815"/>
      <c r="P11" s="815"/>
      <c r="Q11" s="815"/>
      <c r="R11" s="815"/>
      <c r="S11" s="815"/>
      <c r="T11" s="815"/>
      <c r="U11" s="815"/>
      <c r="V11" s="917" t="s">
        <v>682</v>
      </c>
      <c r="W11" s="917"/>
      <c r="X11" s="917" t="s">
        <v>683</v>
      </c>
      <c r="Y11" s="917"/>
      <c r="Z11" s="917"/>
      <c r="AA11" s="917"/>
      <c r="AB11" s="917"/>
      <c r="AC11" s="917"/>
      <c r="AD11" s="917"/>
      <c r="AE11" s="917"/>
      <c r="AF11" s="403"/>
      <c r="AG11" s="10"/>
      <c r="AH11" s="10"/>
      <c r="AI11" s="10"/>
      <c r="AJ11" s="10"/>
      <c r="AK11" s="10"/>
      <c r="AL11" s="10"/>
      <c r="AM11" s="10"/>
      <c r="AN11" s="10"/>
    </row>
    <row r="12" spans="1:40" ht="15.75" x14ac:dyDescent="0.2">
      <c r="A12" s="815"/>
      <c r="B12" s="815"/>
      <c r="C12" s="815"/>
      <c r="D12" s="815"/>
      <c r="E12" s="815"/>
      <c r="F12" s="815"/>
      <c r="G12" s="815"/>
      <c r="H12" s="815"/>
      <c r="I12" s="815"/>
      <c r="J12" s="815"/>
      <c r="K12" s="815"/>
      <c r="L12" s="815"/>
      <c r="M12" s="815"/>
      <c r="N12" s="815"/>
      <c r="O12" s="815"/>
      <c r="P12" s="815"/>
      <c r="Q12" s="815"/>
      <c r="R12" s="815"/>
      <c r="S12" s="815"/>
      <c r="T12" s="815"/>
      <c r="U12" s="815"/>
      <c r="V12" s="917"/>
      <c r="W12" s="917"/>
      <c r="X12" s="917" t="s">
        <v>684</v>
      </c>
      <c r="Y12" s="917"/>
      <c r="Z12" s="917" t="s">
        <v>685</v>
      </c>
      <c r="AA12" s="917"/>
      <c r="AB12" s="917" t="s">
        <v>686</v>
      </c>
      <c r="AC12" s="917"/>
      <c r="AD12" s="917" t="s">
        <v>346</v>
      </c>
      <c r="AE12" s="917"/>
      <c r="AF12" s="403"/>
      <c r="AG12" s="511"/>
      <c r="AH12" s="511"/>
      <c r="AI12" s="511"/>
      <c r="AJ12" s="511"/>
      <c r="AK12" s="511"/>
      <c r="AL12" s="511"/>
      <c r="AM12" s="511"/>
      <c r="AN12" s="511"/>
    </row>
    <row r="13" spans="1:40" ht="12.75" customHeight="1" x14ac:dyDescent="0.2">
      <c r="A13" s="505">
        <v>1</v>
      </c>
      <c r="B13" s="505">
        <v>2</v>
      </c>
      <c r="C13" s="815">
        <v>3</v>
      </c>
      <c r="D13" s="815"/>
      <c r="E13" s="815"/>
      <c r="F13" s="815"/>
      <c r="G13" s="815">
        <v>4</v>
      </c>
      <c r="H13" s="815"/>
      <c r="I13" s="815"/>
      <c r="J13" s="815"/>
      <c r="K13" s="815"/>
      <c r="L13" s="815"/>
      <c r="M13" s="815"/>
      <c r="N13" s="815"/>
      <c r="O13" s="815"/>
      <c r="P13" s="815"/>
      <c r="Q13" s="815">
        <v>5</v>
      </c>
      <c r="R13" s="815"/>
      <c r="S13" s="815"/>
      <c r="T13" s="815"/>
      <c r="U13" s="815"/>
      <c r="V13" s="815">
        <v>6</v>
      </c>
      <c r="W13" s="815"/>
      <c r="X13" s="917">
        <v>7</v>
      </c>
      <c r="Y13" s="917"/>
      <c r="Z13" s="917">
        <v>8</v>
      </c>
      <c r="AA13" s="917"/>
      <c r="AB13" s="917">
        <v>9</v>
      </c>
      <c r="AC13" s="917"/>
      <c r="AD13" s="917">
        <v>10</v>
      </c>
      <c r="AE13" s="917"/>
      <c r="AF13" s="403"/>
      <c r="AG13" s="511"/>
      <c r="AH13" s="511"/>
      <c r="AI13" s="511"/>
      <c r="AJ13" s="511"/>
      <c r="AK13" s="511"/>
      <c r="AL13" s="511"/>
      <c r="AM13" s="511"/>
      <c r="AN13" s="511"/>
    </row>
    <row r="14" spans="1:40" ht="8.25" customHeight="1" x14ac:dyDescent="0.2">
      <c r="A14" s="512"/>
      <c r="B14" s="513"/>
      <c r="C14" s="922"/>
      <c r="D14" s="922"/>
      <c r="E14" s="922"/>
      <c r="F14" s="922"/>
      <c r="G14" s="918"/>
      <c r="H14" s="918"/>
      <c r="I14" s="918"/>
      <c r="J14" s="918"/>
      <c r="K14" s="918"/>
      <c r="L14" s="918"/>
      <c r="M14" s="918"/>
      <c r="N14" s="918"/>
      <c r="O14" s="918"/>
      <c r="P14" s="918"/>
      <c r="Q14" s="923"/>
      <c r="R14" s="923"/>
      <c r="S14" s="923"/>
      <c r="T14" s="923"/>
      <c r="U14" s="923"/>
      <c r="V14" s="919">
        <f>ROUND(SUM(X14,Z14,AB14,AD14),2)</f>
        <v>0</v>
      </c>
      <c r="W14" s="919"/>
      <c r="X14" s="920"/>
      <c r="Y14" s="920"/>
      <c r="Z14" s="920"/>
      <c r="AA14" s="920"/>
      <c r="AB14" s="920"/>
      <c r="AC14" s="920"/>
      <c r="AD14" s="920"/>
      <c r="AE14" s="920"/>
      <c r="AF14" s="403"/>
      <c r="AG14" s="511"/>
      <c r="AH14" s="511"/>
      <c r="AI14" s="511"/>
      <c r="AJ14" s="511"/>
      <c r="AK14" s="511"/>
      <c r="AL14" s="511"/>
      <c r="AM14" s="511"/>
      <c r="AN14" s="511"/>
    </row>
    <row r="15" spans="1:40" ht="8.25" customHeight="1" x14ac:dyDescent="0.2">
      <c r="A15" s="512"/>
      <c r="B15" s="513"/>
      <c r="C15" s="922"/>
      <c r="D15" s="922"/>
      <c r="E15" s="922"/>
      <c r="F15" s="922"/>
      <c r="G15" s="918"/>
      <c r="H15" s="918"/>
      <c r="I15" s="918"/>
      <c r="J15" s="918"/>
      <c r="K15" s="918"/>
      <c r="L15" s="918"/>
      <c r="M15" s="918"/>
      <c r="N15" s="918"/>
      <c r="O15" s="918"/>
      <c r="P15" s="918"/>
      <c r="Q15" s="923"/>
      <c r="R15" s="923"/>
      <c r="S15" s="923"/>
      <c r="T15" s="923"/>
      <c r="U15" s="923"/>
      <c r="V15" s="919">
        <f>ROUND(SUM(X15,Z15,AB15,AD15),0)</f>
        <v>0</v>
      </c>
      <c r="W15" s="919"/>
      <c r="X15" s="920"/>
      <c r="Y15" s="920"/>
      <c r="Z15" s="920"/>
      <c r="AA15" s="920"/>
      <c r="AB15" s="920"/>
      <c r="AC15" s="920"/>
      <c r="AD15" s="920"/>
      <c r="AE15" s="920"/>
      <c r="AF15" s="403"/>
      <c r="AG15" s="511"/>
      <c r="AH15" s="511"/>
      <c r="AI15" s="511"/>
      <c r="AJ15" s="511"/>
      <c r="AK15" s="511"/>
      <c r="AL15" s="511"/>
      <c r="AM15" s="511"/>
      <c r="AN15" s="511"/>
    </row>
    <row r="16" spans="1:40" ht="9" customHeight="1" x14ac:dyDescent="0.2">
      <c r="A16" s="512"/>
      <c r="B16" s="513"/>
      <c r="C16" s="922"/>
      <c r="D16" s="922"/>
      <c r="E16" s="922"/>
      <c r="F16" s="922"/>
      <c r="G16" s="918"/>
      <c r="H16" s="918"/>
      <c r="I16" s="918"/>
      <c r="J16" s="918"/>
      <c r="K16" s="918"/>
      <c r="L16" s="918"/>
      <c r="M16" s="918"/>
      <c r="N16" s="918"/>
      <c r="O16" s="918"/>
      <c r="P16" s="918"/>
      <c r="Q16" s="923"/>
      <c r="R16" s="923"/>
      <c r="S16" s="923"/>
      <c r="T16" s="923"/>
      <c r="U16" s="923"/>
      <c r="V16" s="919">
        <f>ROUND(SUM(X16,Z16,AB16,AD16),0)</f>
        <v>0</v>
      </c>
      <c r="W16" s="919"/>
      <c r="X16" s="920"/>
      <c r="Y16" s="920"/>
      <c r="Z16" s="920"/>
      <c r="AA16" s="920"/>
      <c r="AB16" s="920"/>
      <c r="AC16" s="920"/>
      <c r="AD16" s="920"/>
      <c r="AE16" s="920"/>
      <c r="AF16" s="403"/>
      <c r="AG16" s="511"/>
      <c r="AH16" s="511"/>
      <c r="AI16" s="511"/>
      <c r="AJ16" s="511"/>
      <c r="AK16" s="511"/>
      <c r="AL16" s="511"/>
      <c r="AM16" s="511"/>
      <c r="AN16" s="511"/>
    </row>
    <row r="17" spans="1:40" ht="12.75" customHeight="1" x14ac:dyDescent="0.2">
      <c r="A17" s="921" t="s">
        <v>337</v>
      </c>
      <c r="B17" s="921"/>
      <c r="C17" s="921"/>
      <c r="D17" s="921"/>
      <c r="E17" s="921"/>
      <c r="F17" s="921"/>
      <c r="G17" s="921"/>
      <c r="H17" s="921"/>
      <c r="I17" s="921"/>
      <c r="J17" s="921"/>
      <c r="K17" s="921"/>
      <c r="L17" s="921"/>
      <c r="M17" s="921"/>
      <c r="N17" s="921"/>
      <c r="O17" s="921"/>
      <c r="P17" s="921"/>
      <c r="Q17" s="921"/>
      <c r="R17" s="921"/>
      <c r="S17" s="921"/>
      <c r="T17" s="921"/>
      <c r="U17" s="921"/>
      <c r="V17" s="919">
        <f>ROUND(SUM(V14:W16),0)</f>
        <v>0</v>
      </c>
      <c r="W17" s="919"/>
      <c r="X17" s="919">
        <f>ROUND(SUM(X14:Y16),0)</f>
        <v>0</v>
      </c>
      <c r="Y17" s="919"/>
      <c r="Z17" s="919">
        <f>ROUND(SUM(Z14:AA16),0)</f>
        <v>0</v>
      </c>
      <c r="AA17" s="919"/>
      <c r="AB17" s="919">
        <f>ROUND(SUM(AB14:AC16),0)</f>
        <v>0</v>
      </c>
      <c r="AC17" s="919"/>
      <c r="AD17" s="919">
        <f>ROUND(SUM(AD14:AE16),0)</f>
        <v>0</v>
      </c>
      <c r="AE17" s="919"/>
      <c r="AF17" s="403"/>
      <c r="AG17" s="511"/>
      <c r="AH17" s="511"/>
      <c r="AI17" s="511"/>
      <c r="AJ17" s="511"/>
      <c r="AK17" s="511"/>
      <c r="AL17" s="511"/>
      <c r="AM17" s="511"/>
      <c r="AN17" s="511"/>
    </row>
    <row r="18" spans="1:40" ht="17.25" customHeight="1" x14ac:dyDescent="0.2">
      <c r="A18" s="503"/>
      <c r="B18" s="503" t="s">
        <v>687</v>
      </c>
      <c r="C18" s="503"/>
      <c r="D18" s="503"/>
      <c r="E18" s="503"/>
      <c r="F18" s="503"/>
      <c r="G18" s="503"/>
      <c r="H18" s="503"/>
      <c r="I18" s="503"/>
      <c r="J18" s="503"/>
      <c r="K18" s="503"/>
      <c r="L18" s="503"/>
      <c r="M18" s="503"/>
      <c r="N18" s="503"/>
      <c r="O18" s="503"/>
      <c r="P18" s="503"/>
      <c r="Q18" s="503"/>
      <c r="R18" s="503"/>
      <c r="S18" s="503"/>
      <c r="T18" s="503"/>
      <c r="U18" s="503"/>
      <c r="V18" s="503"/>
      <c r="W18" s="503"/>
      <c r="X18" s="503"/>
      <c r="Y18" s="503"/>
      <c r="Z18" s="503"/>
      <c r="AA18" s="503"/>
      <c r="AB18" s="503"/>
      <c r="AC18" s="503"/>
      <c r="AD18" s="503"/>
      <c r="AE18" s="503"/>
      <c r="AF18" s="503"/>
      <c r="AG18" s="514"/>
      <c r="AH18" s="514"/>
      <c r="AI18" s="514"/>
      <c r="AJ18" s="514"/>
      <c r="AK18" s="514"/>
      <c r="AL18" s="514"/>
      <c r="AM18" s="514"/>
      <c r="AN18" s="514"/>
    </row>
    <row r="19" spans="1:40" ht="28.5" customHeight="1" x14ac:dyDescent="0.2">
      <c r="A19" s="815" t="s">
        <v>676</v>
      </c>
      <c r="B19" s="815" t="s">
        <v>688</v>
      </c>
      <c r="C19" s="815"/>
      <c r="D19" s="815"/>
      <c r="E19" s="815"/>
      <c r="F19" s="815"/>
      <c r="G19" s="815" t="s">
        <v>689</v>
      </c>
      <c r="H19" s="815"/>
      <c r="I19" s="815"/>
      <c r="J19" s="815"/>
      <c r="K19" s="815"/>
      <c r="L19" s="815" t="s">
        <v>690</v>
      </c>
      <c r="M19" s="815"/>
      <c r="N19" s="815"/>
      <c r="O19" s="815"/>
      <c r="P19" s="815"/>
      <c r="Q19" s="815"/>
      <c r="R19" s="815"/>
      <c r="S19" s="815"/>
      <c r="T19" s="815"/>
      <c r="U19" s="815"/>
      <c r="V19" s="815" t="s">
        <v>691</v>
      </c>
      <c r="W19" s="815"/>
      <c r="X19" s="815"/>
      <c r="Y19" s="815"/>
      <c r="Z19" s="815"/>
      <c r="AA19" s="815"/>
      <c r="AB19" s="815"/>
      <c r="AC19" s="815"/>
      <c r="AD19" s="815"/>
      <c r="AE19" s="815"/>
      <c r="AF19" s="403"/>
      <c r="AG19" s="511"/>
      <c r="AH19" s="511"/>
      <c r="AI19" s="511"/>
      <c r="AJ19" s="511"/>
      <c r="AK19" s="511"/>
      <c r="AL19" s="511"/>
      <c r="AM19" s="511"/>
      <c r="AN19" s="511"/>
    </row>
    <row r="20" spans="1:40" ht="36" customHeight="1" x14ac:dyDescent="0.2">
      <c r="A20" s="815"/>
      <c r="B20" s="815"/>
      <c r="C20" s="815"/>
      <c r="D20" s="815"/>
      <c r="E20" s="815"/>
      <c r="F20" s="815"/>
      <c r="G20" s="815" t="s">
        <v>692</v>
      </c>
      <c r="H20" s="815" t="s">
        <v>683</v>
      </c>
      <c r="I20" s="815"/>
      <c r="J20" s="815"/>
      <c r="K20" s="815"/>
      <c r="L20" s="815" t="s">
        <v>692</v>
      </c>
      <c r="M20" s="815"/>
      <c r="N20" s="924" t="s">
        <v>683</v>
      </c>
      <c r="O20" s="924"/>
      <c r="P20" s="924"/>
      <c r="Q20" s="924"/>
      <c r="R20" s="924"/>
      <c r="S20" s="924"/>
      <c r="T20" s="924"/>
      <c r="U20" s="924"/>
      <c r="V20" s="815" t="s">
        <v>692</v>
      </c>
      <c r="W20" s="815"/>
      <c r="X20" s="924" t="s">
        <v>683</v>
      </c>
      <c r="Y20" s="924"/>
      <c r="Z20" s="924"/>
      <c r="AA20" s="924"/>
      <c r="AB20" s="924"/>
      <c r="AC20" s="924"/>
      <c r="AD20" s="924"/>
      <c r="AE20" s="924"/>
      <c r="AF20" s="403"/>
      <c r="AG20" s="511"/>
      <c r="AH20" s="511"/>
      <c r="AI20" s="511"/>
      <c r="AJ20" s="511"/>
      <c r="AK20" s="511"/>
      <c r="AL20" s="511"/>
      <c r="AM20" s="511"/>
      <c r="AN20" s="511"/>
    </row>
    <row r="21" spans="1:40" ht="23.25" customHeight="1" x14ac:dyDescent="0.2">
      <c r="A21" s="815"/>
      <c r="B21" s="815"/>
      <c r="C21" s="815"/>
      <c r="D21" s="815"/>
      <c r="E21" s="815"/>
      <c r="F21" s="815"/>
      <c r="G21" s="815"/>
      <c r="H21" s="290" t="s">
        <v>684</v>
      </c>
      <c r="I21" s="290" t="s">
        <v>685</v>
      </c>
      <c r="J21" s="290" t="s">
        <v>686</v>
      </c>
      <c r="K21" s="290" t="s">
        <v>346</v>
      </c>
      <c r="L21" s="815"/>
      <c r="M21" s="815"/>
      <c r="N21" s="815" t="s">
        <v>684</v>
      </c>
      <c r="O21" s="815"/>
      <c r="P21" s="815" t="s">
        <v>92</v>
      </c>
      <c r="Q21" s="815"/>
      <c r="R21" s="815" t="s">
        <v>93</v>
      </c>
      <c r="S21" s="815"/>
      <c r="T21" s="815" t="s">
        <v>346</v>
      </c>
      <c r="U21" s="815"/>
      <c r="V21" s="815"/>
      <c r="W21" s="815"/>
      <c r="X21" s="815" t="s">
        <v>684</v>
      </c>
      <c r="Y21" s="815"/>
      <c r="Z21" s="815" t="s">
        <v>92</v>
      </c>
      <c r="AA21" s="815"/>
      <c r="AB21" s="815" t="s">
        <v>93</v>
      </c>
      <c r="AC21" s="815"/>
      <c r="AD21" s="815" t="s">
        <v>346</v>
      </c>
      <c r="AE21" s="815"/>
      <c r="AF21" s="403"/>
      <c r="AG21" s="511"/>
      <c r="AH21" s="511"/>
      <c r="AI21" s="511"/>
      <c r="AJ21" s="511"/>
      <c r="AK21" s="511"/>
      <c r="AL21" s="511"/>
      <c r="AM21" s="511"/>
      <c r="AN21" s="511"/>
    </row>
    <row r="22" spans="1:40" ht="12.75" customHeight="1" x14ac:dyDescent="0.2">
      <c r="A22" s="290">
        <v>1</v>
      </c>
      <c r="B22" s="815">
        <v>2</v>
      </c>
      <c r="C22" s="815"/>
      <c r="D22" s="815"/>
      <c r="E22" s="815"/>
      <c r="F22" s="815"/>
      <c r="G22" s="290">
        <v>3</v>
      </c>
      <c r="H22" s="290">
        <v>4</v>
      </c>
      <c r="I22" s="290">
        <v>5</v>
      </c>
      <c r="J22" s="290">
        <v>6</v>
      </c>
      <c r="K22" s="290">
        <v>7</v>
      </c>
      <c r="L22" s="815">
        <v>8</v>
      </c>
      <c r="M22" s="815"/>
      <c r="N22" s="815">
        <v>9</v>
      </c>
      <c r="O22" s="815"/>
      <c r="P22" s="815">
        <v>10</v>
      </c>
      <c r="Q22" s="815"/>
      <c r="R22" s="815">
        <v>11</v>
      </c>
      <c r="S22" s="815"/>
      <c r="T22" s="815">
        <v>12</v>
      </c>
      <c r="U22" s="815"/>
      <c r="V22" s="815">
        <v>13</v>
      </c>
      <c r="W22" s="815"/>
      <c r="X22" s="815">
        <v>14</v>
      </c>
      <c r="Y22" s="815"/>
      <c r="Z22" s="815">
        <v>15</v>
      </c>
      <c r="AA22" s="815"/>
      <c r="AB22" s="815">
        <v>16</v>
      </c>
      <c r="AC22" s="815"/>
      <c r="AD22" s="815">
        <v>17</v>
      </c>
      <c r="AE22" s="815"/>
      <c r="AF22" s="403"/>
      <c r="AG22" s="511"/>
      <c r="AH22" s="511"/>
      <c r="AI22" s="511"/>
      <c r="AJ22" s="511"/>
      <c r="AK22" s="511"/>
      <c r="AL22" s="511"/>
      <c r="AM22" s="511"/>
      <c r="AN22" s="511"/>
    </row>
    <row r="23" spans="1:40" ht="9.75" customHeight="1" x14ac:dyDescent="0.2">
      <c r="A23" s="515"/>
      <c r="B23" s="928"/>
      <c r="C23" s="928"/>
      <c r="D23" s="928"/>
      <c r="E23" s="928"/>
      <c r="F23" s="928"/>
      <c r="G23" s="508">
        <f>ROUND(SUM(H23,I23,J23,K23),2)</f>
        <v>0</v>
      </c>
      <c r="H23" s="509"/>
      <c r="I23" s="509"/>
      <c r="J23" s="509"/>
      <c r="K23" s="509"/>
      <c r="L23" s="926"/>
      <c r="M23" s="926"/>
      <c r="N23" s="927"/>
      <c r="O23" s="927"/>
      <c r="P23" s="920"/>
      <c r="Q23" s="920"/>
      <c r="R23" s="920"/>
      <c r="S23" s="920"/>
      <c r="T23" s="920"/>
      <c r="U23" s="920"/>
      <c r="V23" s="919">
        <f>ROUND(SUM(X23:AE23),0)</f>
        <v>0</v>
      </c>
      <c r="W23" s="919"/>
      <c r="X23" s="920"/>
      <c r="Y23" s="920"/>
      <c r="Z23" s="920"/>
      <c r="AA23" s="920"/>
      <c r="AB23" s="920"/>
      <c r="AC23" s="920"/>
      <c r="AD23" s="920"/>
      <c r="AE23" s="920"/>
      <c r="AF23" s="403"/>
      <c r="AG23" s="511"/>
      <c r="AH23" s="511"/>
      <c r="AI23" s="511"/>
      <c r="AJ23" s="511"/>
      <c r="AK23" s="511"/>
      <c r="AL23" s="511"/>
      <c r="AM23" s="511"/>
      <c r="AN23" s="511"/>
    </row>
    <row r="24" spans="1:40" ht="12.75" customHeight="1" x14ac:dyDescent="0.2">
      <c r="A24" s="515"/>
      <c r="B24" s="925"/>
      <c r="C24" s="925"/>
      <c r="D24" s="925"/>
      <c r="E24" s="925"/>
      <c r="F24" s="925"/>
      <c r="G24" s="508">
        <f>ROUND(SUM(H24,I24,J24,K24),2)</f>
        <v>0</v>
      </c>
      <c r="H24" s="509"/>
      <c r="I24" s="509"/>
      <c r="J24" s="509"/>
      <c r="K24" s="509"/>
      <c r="L24" s="926"/>
      <c r="M24" s="926"/>
      <c r="N24" s="927"/>
      <c r="O24" s="927"/>
      <c r="P24" s="920"/>
      <c r="Q24" s="920"/>
      <c r="R24" s="920"/>
      <c r="S24" s="920"/>
      <c r="T24" s="920"/>
      <c r="U24" s="920"/>
      <c r="V24" s="919">
        <f>ROUND(SUM(X24:AE24),0)</f>
        <v>0</v>
      </c>
      <c r="W24" s="919"/>
      <c r="X24" s="920"/>
      <c r="Y24" s="920"/>
      <c r="Z24" s="920"/>
      <c r="AA24" s="920"/>
      <c r="AB24" s="920"/>
      <c r="AC24" s="920"/>
      <c r="AD24" s="920"/>
      <c r="AE24" s="920"/>
      <c r="AF24" s="403"/>
      <c r="AG24" s="511"/>
      <c r="AH24" s="511"/>
      <c r="AI24" s="511"/>
      <c r="AJ24" s="511"/>
      <c r="AK24" s="511"/>
      <c r="AL24" s="511"/>
      <c r="AM24" s="511"/>
      <c r="AN24" s="511"/>
    </row>
    <row r="25" spans="1:40" ht="12.75" customHeight="1" x14ac:dyDescent="0.2">
      <c r="A25" s="515"/>
      <c r="B25" s="925"/>
      <c r="C25" s="925"/>
      <c r="D25" s="925"/>
      <c r="E25" s="925"/>
      <c r="F25" s="925"/>
      <c r="G25" s="508">
        <f>ROUND(SUM(H25,I25,J25,K25),2)</f>
        <v>0</v>
      </c>
      <c r="H25" s="509"/>
      <c r="I25" s="509"/>
      <c r="J25" s="509"/>
      <c r="K25" s="509"/>
      <c r="L25" s="926"/>
      <c r="M25" s="926"/>
      <c r="N25" s="927"/>
      <c r="O25" s="927"/>
      <c r="P25" s="920"/>
      <c r="Q25" s="920"/>
      <c r="R25" s="920"/>
      <c r="S25" s="920"/>
      <c r="T25" s="920"/>
      <c r="U25" s="920"/>
      <c r="V25" s="919">
        <f>ROUND(SUM(X25:AE25),0)</f>
        <v>0</v>
      </c>
      <c r="W25" s="919"/>
      <c r="X25" s="920"/>
      <c r="Y25" s="920"/>
      <c r="Z25" s="920"/>
      <c r="AA25" s="920"/>
      <c r="AB25" s="920"/>
      <c r="AC25" s="920"/>
      <c r="AD25" s="920"/>
      <c r="AE25" s="920"/>
      <c r="AF25" s="403"/>
      <c r="AG25" s="511"/>
      <c r="AH25" s="511"/>
      <c r="AI25" s="511"/>
      <c r="AJ25" s="511"/>
      <c r="AK25" s="511"/>
      <c r="AL25" s="511"/>
      <c r="AM25" s="511"/>
      <c r="AN25" s="511"/>
    </row>
    <row r="26" spans="1:40" ht="12.75" customHeight="1" x14ac:dyDescent="0.2">
      <c r="A26" s="929" t="s">
        <v>337</v>
      </c>
      <c r="B26" s="929"/>
      <c r="C26" s="929"/>
      <c r="D26" s="929"/>
      <c r="E26" s="929"/>
      <c r="F26" s="929"/>
      <c r="G26" s="508">
        <f>ROUND(SUM(G23:G25),2)</f>
        <v>0</v>
      </c>
      <c r="H26" s="508">
        <f>ROUND(SUM(H23:H25),2)</f>
        <v>0</v>
      </c>
      <c r="I26" s="508">
        <f>ROUND(SUM(I23:I25),2)</f>
        <v>0</v>
      </c>
      <c r="J26" s="508">
        <f>ROUND(SUM(J23:J25),2)</f>
        <v>0</v>
      </c>
      <c r="K26" s="508">
        <f>ROUND(SUM(K23:K25),2)</f>
        <v>0</v>
      </c>
      <c r="L26" s="926"/>
      <c r="M26" s="926"/>
      <c r="N26" s="919">
        <f>ROUND(SUM(N23:N25),2)</f>
        <v>0</v>
      </c>
      <c r="O26" s="919"/>
      <c r="P26" s="919">
        <f>ROUND(SUM(P23:P25),2)</f>
        <v>0</v>
      </c>
      <c r="Q26" s="919"/>
      <c r="R26" s="919">
        <f>ROUND(SUM(R23:R25),2)</f>
        <v>0</v>
      </c>
      <c r="S26" s="919"/>
      <c r="T26" s="919">
        <f>ROUND(SUM(T23:T25),2)</f>
        <v>0</v>
      </c>
      <c r="U26" s="919"/>
      <c r="V26" s="919">
        <f>ROUND(SUM(X26:AE26),0)</f>
        <v>0</v>
      </c>
      <c r="W26" s="919"/>
      <c r="X26" s="919">
        <f>ROUND(SUM(X23:X25),2)</f>
        <v>0</v>
      </c>
      <c r="Y26" s="919"/>
      <c r="Z26" s="919">
        <f>ROUND(SUM(Z23:Z25),2)</f>
        <v>0</v>
      </c>
      <c r="AA26" s="919"/>
      <c r="AB26" s="919">
        <f>ROUND(SUM(AB23:AB25),2)</f>
        <v>0</v>
      </c>
      <c r="AC26" s="919"/>
      <c r="AD26" s="919">
        <f>ROUND(SUM(AD23:AD25),2)</f>
        <v>0</v>
      </c>
      <c r="AE26" s="919"/>
      <c r="AF26" s="403"/>
      <c r="AG26" s="511"/>
      <c r="AH26" s="511"/>
      <c r="AI26" s="511"/>
      <c r="AJ26" s="511"/>
      <c r="AK26" s="511"/>
      <c r="AL26" s="511"/>
      <c r="AM26" s="511"/>
      <c r="AN26" s="511"/>
    </row>
    <row r="27" spans="1:40" ht="12.75" customHeight="1" x14ac:dyDescent="0.2">
      <c r="A27" s="922" t="s">
        <v>693</v>
      </c>
      <c r="B27" s="922"/>
      <c r="C27" s="922"/>
      <c r="D27" s="922"/>
      <c r="E27" s="922"/>
      <c r="F27" s="922"/>
      <c r="G27" s="517"/>
      <c r="H27" s="518"/>
      <c r="I27" s="518"/>
      <c r="J27" s="518"/>
      <c r="K27" s="518"/>
      <c r="L27" s="935"/>
      <c r="M27" s="935"/>
      <c r="N27" s="930"/>
      <c r="O27" s="930"/>
      <c r="P27" s="920"/>
      <c r="Q27" s="920"/>
      <c r="R27" s="920"/>
      <c r="S27" s="920"/>
      <c r="T27" s="920"/>
      <c r="U27" s="920"/>
      <c r="V27" s="931"/>
      <c r="W27" s="931"/>
      <c r="X27" s="932"/>
      <c r="Y27" s="932"/>
      <c r="Z27" s="920"/>
      <c r="AA27" s="920"/>
      <c r="AB27" s="920"/>
      <c r="AC27" s="920"/>
      <c r="AD27" s="920"/>
      <c r="AE27" s="920"/>
      <c r="AF27" s="403"/>
      <c r="AG27" s="511"/>
      <c r="AH27" s="511"/>
      <c r="AI27" s="511"/>
      <c r="AJ27" s="511"/>
      <c r="AK27" s="511"/>
      <c r="AL27" s="511"/>
      <c r="AM27" s="511"/>
      <c r="AN27" s="511"/>
    </row>
    <row r="28" spans="1:40" ht="12.75" customHeight="1" x14ac:dyDescent="0.2">
      <c r="A28" s="519"/>
      <c r="B28" s="933" t="s">
        <v>694</v>
      </c>
      <c r="C28" s="933"/>
      <c r="D28" s="933"/>
      <c r="E28" s="933"/>
      <c r="F28" s="933"/>
      <c r="G28" s="495"/>
      <c r="H28" s="495"/>
      <c r="I28" s="495"/>
      <c r="J28" s="495"/>
      <c r="K28" s="495"/>
      <c r="L28" s="495"/>
      <c r="M28" s="495"/>
      <c r="N28" s="495"/>
      <c r="O28" s="495"/>
      <c r="P28" s="495"/>
      <c r="Q28" s="495"/>
      <c r="R28" s="495"/>
      <c r="S28" s="519"/>
      <c r="T28" s="519"/>
      <c r="U28" s="519"/>
      <c r="V28" s="519"/>
      <c r="W28" s="495"/>
      <c r="X28" s="519"/>
      <c r="Y28" s="519"/>
      <c r="Z28" s="519"/>
      <c r="AA28" s="519"/>
      <c r="AB28" s="403"/>
      <c r="AC28" s="403"/>
      <c r="AD28" s="403"/>
      <c r="AE28" s="403"/>
      <c r="AF28" s="403"/>
      <c r="AG28" s="511"/>
      <c r="AH28" s="511"/>
      <c r="AI28" s="511"/>
      <c r="AJ28" s="511"/>
      <c r="AK28" s="511"/>
      <c r="AL28" s="511"/>
      <c r="AM28" s="511"/>
      <c r="AN28" s="511"/>
    </row>
    <row r="29" spans="1:40" ht="46.5" customHeight="1" x14ac:dyDescent="0.2">
      <c r="A29" s="815" t="s">
        <v>676</v>
      </c>
      <c r="B29" s="934" t="s">
        <v>688</v>
      </c>
      <c r="C29" s="934"/>
      <c r="D29" s="934"/>
      <c r="E29" s="934"/>
      <c r="F29" s="934"/>
      <c r="G29" s="815" t="s">
        <v>695</v>
      </c>
      <c r="H29" s="815"/>
      <c r="I29" s="815"/>
      <c r="J29" s="815"/>
      <c r="K29" s="815"/>
      <c r="L29" s="815" t="s">
        <v>696</v>
      </c>
      <c r="M29" s="815"/>
      <c r="N29" s="815"/>
      <c r="O29" s="815"/>
      <c r="P29" s="815"/>
      <c r="Q29" s="815"/>
      <c r="R29" s="815"/>
      <c r="S29" s="815"/>
      <c r="T29" s="815"/>
      <c r="U29" s="815"/>
      <c r="V29" s="815" t="s">
        <v>697</v>
      </c>
      <c r="W29" s="815"/>
      <c r="X29" s="815"/>
      <c r="Y29" s="815"/>
      <c r="Z29" s="815"/>
      <c r="AA29" s="815"/>
      <c r="AB29" s="815"/>
      <c r="AC29" s="815"/>
      <c r="AD29" s="815"/>
      <c r="AE29" s="815"/>
      <c r="AF29" s="403"/>
      <c r="AG29" s="511"/>
      <c r="AH29" s="511"/>
      <c r="AI29" s="511"/>
      <c r="AJ29" s="511"/>
      <c r="AK29" s="511"/>
      <c r="AL29" s="511"/>
      <c r="AM29" s="511"/>
      <c r="AN29" s="511"/>
    </row>
    <row r="30" spans="1:40" ht="29.25" customHeight="1" x14ac:dyDescent="0.2">
      <c r="A30" s="815"/>
      <c r="B30" s="934"/>
      <c r="C30" s="934"/>
      <c r="D30" s="934"/>
      <c r="E30" s="934"/>
      <c r="F30" s="934"/>
      <c r="G30" s="815" t="s">
        <v>692</v>
      </c>
      <c r="H30" s="815" t="s">
        <v>683</v>
      </c>
      <c r="I30" s="815"/>
      <c r="J30" s="815"/>
      <c r="K30" s="815"/>
      <c r="L30" s="815" t="s">
        <v>692</v>
      </c>
      <c r="M30" s="815"/>
      <c r="N30" s="924" t="s">
        <v>683</v>
      </c>
      <c r="O30" s="924"/>
      <c r="P30" s="924"/>
      <c r="Q30" s="924"/>
      <c r="R30" s="924"/>
      <c r="S30" s="924"/>
      <c r="T30" s="924"/>
      <c r="U30" s="924"/>
      <c r="V30" s="815" t="s">
        <v>692</v>
      </c>
      <c r="W30" s="815"/>
      <c r="X30" s="924" t="s">
        <v>683</v>
      </c>
      <c r="Y30" s="924"/>
      <c r="Z30" s="924"/>
      <c r="AA30" s="924"/>
      <c r="AB30" s="924"/>
      <c r="AC30" s="924"/>
      <c r="AD30" s="924"/>
      <c r="AE30" s="924"/>
      <c r="AF30" s="403"/>
      <c r="AG30" s="511"/>
      <c r="AH30" s="511"/>
      <c r="AI30" s="511"/>
      <c r="AJ30" s="511"/>
      <c r="AK30" s="511"/>
      <c r="AL30" s="511"/>
      <c r="AM30" s="511"/>
      <c r="AN30" s="511"/>
    </row>
    <row r="31" spans="1:40" ht="12.75" customHeight="1" x14ac:dyDescent="0.2">
      <c r="A31" s="815"/>
      <c r="B31" s="934"/>
      <c r="C31" s="934"/>
      <c r="D31" s="934"/>
      <c r="E31" s="934"/>
      <c r="F31" s="934"/>
      <c r="G31" s="815"/>
      <c r="H31" s="290" t="s">
        <v>684</v>
      </c>
      <c r="I31" s="290" t="s">
        <v>685</v>
      </c>
      <c r="J31" s="290" t="s">
        <v>686</v>
      </c>
      <c r="K31" s="290" t="s">
        <v>346</v>
      </c>
      <c r="L31" s="815"/>
      <c r="M31" s="815"/>
      <c r="N31" s="815" t="s">
        <v>684</v>
      </c>
      <c r="O31" s="815"/>
      <c r="P31" s="815" t="s">
        <v>92</v>
      </c>
      <c r="Q31" s="815"/>
      <c r="R31" s="815" t="s">
        <v>93</v>
      </c>
      <c r="S31" s="815"/>
      <c r="T31" s="815" t="s">
        <v>346</v>
      </c>
      <c r="U31" s="815"/>
      <c r="V31" s="815"/>
      <c r="W31" s="815"/>
      <c r="X31" s="815" t="s">
        <v>684</v>
      </c>
      <c r="Y31" s="815"/>
      <c r="Z31" s="815" t="s">
        <v>92</v>
      </c>
      <c r="AA31" s="815"/>
      <c r="AB31" s="815" t="s">
        <v>93</v>
      </c>
      <c r="AC31" s="815"/>
      <c r="AD31" s="815" t="s">
        <v>346</v>
      </c>
      <c r="AE31" s="815"/>
      <c r="AF31" s="403"/>
      <c r="AG31" s="511"/>
      <c r="AH31" s="511"/>
      <c r="AI31" s="511"/>
      <c r="AJ31" s="511"/>
      <c r="AK31" s="511"/>
      <c r="AL31" s="511"/>
      <c r="AM31" s="511"/>
      <c r="AN31" s="511"/>
    </row>
    <row r="32" spans="1:40" ht="12" customHeight="1" x14ac:dyDescent="0.2">
      <c r="A32" s="290"/>
      <c r="B32" s="815"/>
      <c r="C32" s="815"/>
      <c r="D32" s="815"/>
      <c r="E32" s="815"/>
      <c r="F32" s="815"/>
      <c r="G32" s="290">
        <v>18</v>
      </c>
      <c r="H32" s="290">
        <v>19</v>
      </c>
      <c r="I32" s="290">
        <v>20</v>
      </c>
      <c r="J32" s="290">
        <v>21</v>
      </c>
      <c r="K32" s="290">
        <v>22</v>
      </c>
      <c r="L32" s="815">
        <v>23</v>
      </c>
      <c r="M32" s="815"/>
      <c r="N32" s="815">
        <v>24</v>
      </c>
      <c r="O32" s="815"/>
      <c r="P32" s="815">
        <v>25</v>
      </c>
      <c r="Q32" s="815"/>
      <c r="R32" s="815">
        <v>26</v>
      </c>
      <c r="S32" s="815"/>
      <c r="T32" s="815">
        <v>27</v>
      </c>
      <c r="U32" s="815"/>
      <c r="V32" s="815">
        <v>28</v>
      </c>
      <c r="W32" s="815"/>
      <c r="X32" s="815">
        <v>29</v>
      </c>
      <c r="Y32" s="815"/>
      <c r="Z32" s="815">
        <v>30</v>
      </c>
      <c r="AA32" s="815"/>
      <c r="AB32" s="815">
        <v>31</v>
      </c>
      <c r="AC32" s="815"/>
      <c r="AD32" s="815">
        <v>32</v>
      </c>
      <c r="AE32" s="815"/>
      <c r="AF32" s="403"/>
      <c r="AG32" s="511"/>
      <c r="AH32" s="511"/>
      <c r="AI32" s="511"/>
      <c r="AJ32" s="511"/>
      <c r="AK32" s="511"/>
      <c r="AL32" s="511"/>
      <c r="AM32" s="511"/>
      <c r="AN32" s="511"/>
    </row>
    <row r="33" spans="1:40" ht="27.75" customHeight="1" x14ac:dyDescent="0.2">
      <c r="A33" s="515">
        <v>1</v>
      </c>
      <c r="B33" s="816"/>
      <c r="C33" s="816"/>
      <c r="D33" s="816"/>
      <c r="E33" s="816"/>
      <c r="F33" s="816"/>
      <c r="G33" s="520">
        <f>ROUND(SUM(H33:K33),2)</f>
        <v>0</v>
      </c>
      <c r="H33" s="520"/>
      <c r="I33" s="520"/>
      <c r="J33" s="520"/>
      <c r="K33" s="520"/>
      <c r="L33" s="936">
        <f>ROUND(SUM(N33:U33),2)</f>
        <v>0</v>
      </c>
      <c r="M33" s="936"/>
      <c r="N33" s="936"/>
      <c r="O33" s="936"/>
      <c r="P33" s="936"/>
      <c r="Q33" s="936"/>
      <c r="R33" s="936"/>
      <c r="S33" s="936"/>
      <c r="T33" s="936"/>
      <c r="U33" s="936"/>
      <c r="V33" s="936">
        <f>ROUND(SUM(W33,X33,Y33,Z33),2)</f>
        <v>0</v>
      </c>
      <c r="W33" s="936"/>
      <c r="X33" s="936">
        <f>ROUND(H23+N23+X23+H33+N33,2)</f>
        <v>0</v>
      </c>
      <c r="Y33" s="936"/>
      <c r="Z33" s="936"/>
      <c r="AA33" s="936"/>
      <c r="AB33" s="937"/>
      <c r="AC33" s="937"/>
      <c r="AD33" s="937"/>
      <c r="AE33" s="937"/>
      <c r="AF33" s="403"/>
      <c r="AG33" s="511"/>
      <c r="AH33" s="511"/>
      <c r="AI33" s="511"/>
      <c r="AJ33" s="511"/>
      <c r="AK33" s="511"/>
      <c r="AL33" s="511"/>
      <c r="AM33" s="511"/>
      <c r="AN33" s="511"/>
    </row>
    <row r="34" spans="1:40" ht="27.75" customHeight="1" x14ac:dyDescent="0.2">
      <c r="A34" s="515">
        <v>2</v>
      </c>
      <c r="B34" s="816"/>
      <c r="C34" s="816"/>
      <c r="D34" s="816"/>
      <c r="E34" s="816"/>
      <c r="F34" s="816"/>
      <c r="G34" s="520">
        <f>ROUND(SUM(H34:K34),2)</f>
        <v>0</v>
      </c>
      <c r="H34" s="520"/>
      <c r="I34" s="520"/>
      <c r="J34" s="520"/>
      <c r="K34" s="520"/>
      <c r="L34" s="936">
        <f>ROUND(SUM(N34:U34),2)</f>
        <v>0</v>
      </c>
      <c r="M34" s="936"/>
      <c r="N34" s="936"/>
      <c r="O34" s="936"/>
      <c r="P34" s="936"/>
      <c r="Q34" s="936"/>
      <c r="R34" s="936"/>
      <c r="S34" s="936"/>
      <c r="T34" s="936"/>
      <c r="U34" s="936"/>
      <c r="V34" s="936">
        <f>ROUND(SUM(W34,X34,Y34,Z34),2)</f>
        <v>0</v>
      </c>
      <c r="W34" s="936"/>
      <c r="X34" s="936">
        <f>ROUND(H24+N24+X24+H34+N34,2)</f>
        <v>0</v>
      </c>
      <c r="Y34" s="936"/>
      <c r="Z34" s="936"/>
      <c r="AA34" s="936"/>
      <c r="AB34" s="937"/>
      <c r="AC34" s="937"/>
      <c r="AD34" s="937"/>
      <c r="AE34" s="937"/>
      <c r="AF34" s="403"/>
      <c r="AG34" s="511"/>
      <c r="AH34" s="511"/>
      <c r="AI34" s="511"/>
      <c r="AJ34" s="511"/>
      <c r="AK34" s="511"/>
      <c r="AL34" s="511"/>
      <c r="AM34" s="511"/>
      <c r="AN34" s="511"/>
    </row>
    <row r="35" spans="1:40" ht="27.75" customHeight="1" x14ac:dyDescent="0.2">
      <c r="A35" s="515"/>
      <c r="B35" s="816"/>
      <c r="C35" s="816"/>
      <c r="D35" s="816"/>
      <c r="E35" s="816"/>
      <c r="F35" s="816"/>
      <c r="G35" s="521">
        <f>ROUND(SUM(H35:K35),2)</f>
        <v>0</v>
      </c>
      <c r="H35" s="520"/>
      <c r="I35" s="520"/>
      <c r="J35" s="520"/>
      <c r="K35" s="520"/>
      <c r="L35" s="938">
        <f>ROUND(SUM(N35:U35),2)</f>
        <v>0</v>
      </c>
      <c r="M35" s="938"/>
      <c r="N35" s="936"/>
      <c r="O35" s="936"/>
      <c r="P35" s="936"/>
      <c r="Q35" s="936"/>
      <c r="R35" s="936"/>
      <c r="S35" s="936"/>
      <c r="T35" s="936"/>
      <c r="U35" s="936"/>
      <c r="V35" s="938">
        <f>ROUND(SUM(W35,X35,Y35,Z35),2)</f>
        <v>0</v>
      </c>
      <c r="W35" s="938"/>
      <c r="X35" s="938">
        <f>ROUND(H25+N25+X25+H35+N35,2)</f>
        <v>0</v>
      </c>
      <c r="Y35" s="938"/>
      <c r="Z35" s="938"/>
      <c r="AA35" s="938"/>
      <c r="AB35" s="939"/>
      <c r="AC35" s="939"/>
      <c r="AD35" s="939"/>
      <c r="AE35" s="939"/>
      <c r="AF35" s="403"/>
      <c r="AG35" s="511"/>
      <c r="AH35" s="511"/>
      <c r="AI35" s="511"/>
      <c r="AJ35" s="511"/>
      <c r="AK35" s="511"/>
      <c r="AL35" s="511"/>
      <c r="AM35" s="511"/>
      <c r="AN35" s="511"/>
    </row>
    <row r="36" spans="1:40" ht="27.75" customHeight="1" x14ac:dyDescent="0.2">
      <c r="A36" s="515"/>
      <c r="B36" s="816"/>
      <c r="C36" s="816"/>
      <c r="D36" s="816"/>
      <c r="E36" s="816"/>
      <c r="F36" s="816"/>
      <c r="G36" s="521">
        <f>ROUND(SUM(H36:K36),2)</f>
        <v>0</v>
      </c>
      <c r="H36" s="520"/>
      <c r="I36" s="520"/>
      <c r="J36" s="520"/>
      <c r="K36" s="520"/>
      <c r="L36" s="938">
        <f>ROUND(SUM(N36:U36),2)</f>
        <v>0</v>
      </c>
      <c r="M36" s="938"/>
      <c r="N36" s="936"/>
      <c r="O36" s="936"/>
      <c r="P36" s="936"/>
      <c r="Q36" s="936"/>
      <c r="R36" s="936"/>
      <c r="S36" s="936"/>
      <c r="T36" s="936"/>
      <c r="U36" s="936"/>
      <c r="V36" s="938"/>
      <c r="W36" s="938"/>
      <c r="X36" s="938"/>
      <c r="Y36" s="938"/>
      <c r="Z36" s="938"/>
      <c r="AA36" s="938"/>
      <c r="AB36" s="939"/>
      <c r="AC36" s="939"/>
      <c r="AD36" s="939"/>
      <c r="AE36" s="939"/>
      <c r="AF36" s="403"/>
      <c r="AG36" s="511"/>
      <c r="AH36" s="511"/>
      <c r="AI36" s="511"/>
      <c r="AJ36" s="511"/>
      <c r="AK36" s="511"/>
      <c r="AL36" s="511"/>
      <c r="AM36" s="511"/>
      <c r="AN36" s="511"/>
    </row>
    <row r="37" spans="1:40" ht="29.25" customHeight="1" x14ac:dyDescent="0.2">
      <c r="A37" s="929" t="s">
        <v>337</v>
      </c>
      <c r="B37" s="929"/>
      <c r="C37" s="929"/>
      <c r="D37" s="929"/>
      <c r="E37" s="929"/>
      <c r="F37" s="929"/>
      <c r="G37" s="521">
        <f>ROUND(SUM(H37:K37),2)</f>
        <v>0</v>
      </c>
      <c r="H37" s="522">
        <f>ROUND(SUM(H33:H36),2)</f>
        <v>0</v>
      </c>
      <c r="I37" s="522">
        <f>ROUND(SUM(I33:I36),2)</f>
        <v>0</v>
      </c>
      <c r="J37" s="522">
        <f>ROUND(SUM(J33:J36),2)</f>
        <v>0</v>
      </c>
      <c r="K37" s="522">
        <f>ROUND(SUM(K33:K36),2)</f>
        <v>0</v>
      </c>
      <c r="L37" s="938">
        <f>ROUND(SUM(N37:U37),2)</f>
        <v>0</v>
      </c>
      <c r="M37" s="938"/>
      <c r="N37" s="938">
        <f>ROUND(SUM(N33:N36),2)</f>
        <v>0</v>
      </c>
      <c r="O37" s="938"/>
      <c r="P37" s="938">
        <f>ROUND(SUM(P33:P36),2)</f>
        <v>0</v>
      </c>
      <c r="Q37" s="938"/>
      <c r="R37" s="938">
        <f>ROUND(SUM(R33:R36),2)</f>
        <v>0</v>
      </c>
      <c r="S37" s="938"/>
      <c r="T37" s="938">
        <f>ROUND(SUM(T33:T36),2)</f>
        <v>0</v>
      </c>
      <c r="U37" s="938"/>
      <c r="V37" s="938">
        <f>ROUND(SUM(W36,X37,Y37,Z36),2)</f>
        <v>0</v>
      </c>
      <c r="W37" s="938"/>
      <c r="X37" s="938">
        <f>ROUND(H26+N26+X26+H36+N36,2)</f>
        <v>0</v>
      </c>
      <c r="Y37" s="938"/>
      <c r="Z37" s="938"/>
      <c r="AA37" s="938"/>
      <c r="AB37" s="939"/>
      <c r="AC37" s="939"/>
      <c r="AD37" s="939"/>
      <c r="AE37" s="939"/>
      <c r="AF37" s="403"/>
      <c r="AG37" s="511"/>
      <c r="AH37" s="511"/>
      <c r="AI37" s="511"/>
      <c r="AJ37" s="511"/>
      <c r="AK37" s="511"/>
      <c r="AL37" s="511"/>
      <c r="AM37" s="511"/>
      <c r="AN37" s="511"/>
    </row>
    <row r="38" spans="1:40" ht="42.75" customHeight="1" x14ac:dyDescent="0.2">
      <c r="A38" s="922" t="s">
        <v>693</v>
      </c>
      <c r="B38" s="922"/>
      <c r="C38" s="922"/>
      <c r="D38" s="922"/>
      <c r="E38" s="922"/>
      <c r="F38" s="922"/>
      <c r="G38" s="523"/>
      <c r="H38" s="523"/>
      <c r="I38" s="523"/>
      <c r="J38" s="523"/>
      <c r="K38" s="523"/>
      <c r="L38" s="941"/>
      <c r="M38" s="941"/>
      <c r="N38" s="932"/>
      <c r="O38" s="932"/>
      <c r="P38" s="920"/>
      <c r="Q38" s="920"/>
      <c r="R38" s="920"/>
      <c r="S38" s="920"/>
      <c r="T38" s="920"/>
      <c r="U38" s="920"/>
      <c r="V38" s="940"/>
      <c r="W38" s="940"/>
      <c r="X38" s="940"/>
      <c r="Y38" s="940"/>
      <c r="Z38" s="937"/>
      <c r="AA38" s="937"/>
      <c r="AB38" s="937"/>
      <c r="AC38" s="937"/>
      <c r="AD38" s="937"/>
      <c r="AE38" s="937"/>
      <c r="AF38" s="403"/>
      <c r="AG38" s="511"/>
      <c r="AH38" s="511"/>
      <c r="AI38" s="511"/>
      <c r="AJ38" s="511"/>
      <c r="AK38" s="511"/>
      <c r="AL38" s="511"/>
      <c r="AM38" s="511"/>
      <c r="AN38" s="511"/>
    </row>
    <row r="39" spans="1:40" ht="15.75" customHeight="1" x14ac:dyDescent="0.2">
      <c r="A39" s="503"/>
      <c r="B39" s="503"/>
      <c r="C39" s="503"/>
      <c r="D39" s="503"/>
      <c r="E39" s="503"/>
      <c r="F39" s="503"/>
      <c r="G39" s="503"/>
      <c r="H39" s="503"/>
      <c r="I39" s="503"/>
      <c r="J39" s="503"/>
      <c r="K39" s="503"/>
      <c r="L39" s="503"/>
      <c r="M39" s="503"/>
      <c r="N39" s="503"/>
      <c r="O39" s="503"/>
      <c r="P39" s="503"/>
      <c r="Q39" s="503"/>
      <c r="R39" s="503"/>
      <c r="S39" s="503"/>
      <c r="T39" s="503"/>
      <c r="U39" s="503"/>
      <c r="V39" s="503"/>
      <c r="W39" s="503"/>
      <c r="X39" s="503"/>
      <c r="Y39" s="503"/>
      <c r="Z39" s="503"/>
      <c r="AA39" s="503"/>
      <c r="AB39" s="503"/>
      <c r="AC39" s="503"/>
      <c r="AD39" s="503"/>
      <c r="AE39" s="503"/>
      <c r="AF39" s="503"/>
      <c r="AG39" s="514"/>
      <c r="AH39" s="514"/>
      <c r="AI39" s="514"/>
      <c r="AJ39" s="514"/>
      <c r="AK39" s="514"/>
      <c r="AL39" s="514"/>
      <c r="AM39" s="514"/>
      <c r="AN39" s="514"/>
    </row>
    <row r="40" spans="1:40" ht="21.75" customHeight="1" x14ac:dyDescent="0.2">
      <c r="A40" s="503" t="s">
        <v>698</v>
      </c>
      <c r="B40" s="503" t="s">
        <v>699</v>
      </c>
      <c r="C40" s="503"/>
      <c r="D40" s="503"/>
      <c r="E40" s="503"/>
      <c r="F40" s="503"/>
      <c r="G40" s="503"/>
      <c r="H40" s="503"/>
      <c r="I40" s="503"/>
      <c r="J40" s="503"/>
      <c r="K40" s="503"/>
      <c r="L40" s="503"/>
      <c r="M40" s="503"/>
      <c r="N40" s="503"/>
      <c r="O40" s="503"/>
      <c r="P40" s="503"/>
      <c r="Q40" s="503"/>
      <c r="R40" s="503"/>
      <c r="S40" s="503"/>
      <c r="T40" s="503"/>
      <c r="U40" s="503"/>
      <c r="V40" s="503"/>
      <c r="W40" s="503"/>
      <c r="X40" s="503"/>
      <c r="Y40" s="503"/>
      <c r="Z40" s="503"/>
      <c r="AA40" s="503"/>
      <c r="AB40" s="503"/>
      <c r="AC40" s="503"/>
      <c r="AD40" s="503"/>
      <c r="AE40" s="503"/>
      <c r="AF40" s="503"/>
      <c r="AG40" s="514"/>
      <c r="AH40" s="514"/>
      <c r="AI40" s="514"/>
      <c r="AJ40" s="514"/>
      <c r="AK40" s="514"/>
      <c r="AL40" s="514"/>
      <c r="AM40" s="514"/>
      <c r="AN40" s="514"/>
    </row>
    <row r="41" spans="1:40" ht="32.25" customHeight="1" x14ac:dyDescent="0.25">
      <c r="A41" s="917" t="s">
        <v>700</v>
      </c>
      <c r="B41" s="815" t="s">
        <v>701</v>
      </c>
      <c r="C41" s="815" t="s">
        <v>702</v>
      </c>
      <c r="D41" s="815"/>
      <c r="E41" s="815" t="s">
        <v>703</v>
      </c>
      <c r="F41" s="815"/>
      <c r="G41" s="815" t="s">
        <v>704</v>
      </c>
      <c r="H41" s="815"/>
      <c r="I41" s="815" t="s">
        <v>705</v>
      </c>
      <c r="J41" s="815"/>
      <c r="K41" s="815" t="s">
        <v>41</v>
      </c>
      <c r="L41" s="815"/>
      <c r="M41" s="815"/>
      <c r="N41" s="815"/>
      <c r="O41" s="815"/>
      <c r="P41" s="815"/>
      <c r="Q41" s="815"/>
      <c r="R41" s="815"/>
      <c r="S41" s="815"/>
      <c r="T41" s="815"/>
      <c r="U41" s="815" t="s">
        <v>706</v>
      </c>
      <c r="V41" s="815"/>
      <c r="W41" s="815"/>
      <c r="X41" s="815"/>
      <c r="Y41" s="815"/>
      <c r="Z41" s="815" t="s">
        <v>707</v>
      </c>
      <c r="AA41" s="815"/>
      <c r="AB41" s="815"/>
      <c r="AC41" s="815"/>
      <c r="AD41" s="815"/>
      <c r="AE41" s="815"/>
      <c r="AF41" s="524"/>
      <c r="AG41" s="321"/>
      <c r="AH41" s="321"/>
      <c r="AI41" s="321"/>
      <c r="AJ41" s="321"/>
      <c r="AK41" s="321"/>
      <c r="AL41" s="321"/>
      <c r="AM41" s="321"/>
      <c r="AN41" s="321"/>
    </row>
    <row r="42" spans="1:40" ht="33.75" customHeight="1" x14ac:dyDescent="0.25">
      <c r="A42" s="917"/>
      <c r="B42" s="917"/>
      <c r="C42" s="815"/>
      <c r="D42" s="815"/>
      <c r="E42" s="815"/>
      <c r="F42" s="815"/>
      <c r="G42" s="815"/>
      <c r="H42" s="815"/>
      <c r="I42" s="815"/>
      <c r="J42" s="815"/>
      <c r="K42" s="815" t="s">
        <v>708</v>
      </c>
      <c r="L42" s="815"/>
      <c r="M42" s="815" t="s">
        <v>709</v>
      </c>
      <c r="N42" s="815"/>
      <c r="O42" s="815" t="s">
        <v>710</v>
      </c>
      <c r="P42" s="815"/>
      <c r="Q42" s="815"/>
      <c r="R42" s="815"/>
      <c r="S42" s="815"/>
      <c r="T42" s="815"/>
      <c r="U42" s="815"/>
      <c r="V42" s="815"/>
      <c r="W42" s="815"/>
      <c r="X42" s="815"/>
      <c r="Y42" s="815"/>
      <c r="Z42" s="815"/>
      <c r="AA42" s="815"/>
      <c r="AB42" s="815"/>
      <c r="AC42" s="815"/>
      <c r="AD42" s="815"/>
      <c r="AE42" s="815"/>
      <c r="AF42" s="524"/>
      <c r="AG42" s="321"/>
      <c r="AH42" s="321"/>
      <c r="AI42" s="321"/>
      <c r="AJ42" s="321"/>
      <c r="AK42" s="321"/>
      <c r="AL42" s="321"/>
      <c r="AM42" s="321"/>
      <c r="AN42" s="321"/>
    </row>
    <row r="43" spans="1:40" ht="90" customHeight="1" x14ac:dyDescent="0.2">
      <c r="A43" s="917"/>
      <c r="B43" s="917"/>
      <c r="C43" s="815"/>
      <c r="D43" s="815"/>
      <c r="E43" s="815"/>
      <c r="F43" s="815"/>
      <c r="G43" s="815"/>
      <c r="H43" s="815"/>
      <c r="I43" s="815"/>
      <c r="J43" s="815"/>
      <c r="K43" s="815"/>
      <c r="L43" s="815"/>
      <c r="M43" s="815"/>
      <c r="N43" s="815"/>
      <c r="O43" s="815" t="s">
        <v>711</v>
      </c>
      <c r="P43" s="815"/>
      <c r="Q43" s="815" t="s">
        <v>712</v>
      </c>
      <c r="R43" s="815"/>
      <c r="S43" s="815" t="s">
        <v>713</v>
      </c>
      <c r="T43" s="815"/>
      <c r="U43" s="815"/>
      <c r="V43" s="815"/>
      <c r="W43" s="815"/>
      <c r="X43" s="815"/>
      <c r="Y43" s="815"/>
      <c r="Z43" s="815"/>
      <c r="AA43" s="815"/>
      <c r="AB43" s="815"/>
      <c r="AC43" s="815"/>
      <c r="AD43" s="815"/>
      <c r="AE43" s="815"/>
      <c r="AF43" s="525"/>
      <c r="AG43" s="526"/>
      <c r="AH43" s="526"/>
      <c r="AI43" s="526"/>
      <c r="AJ43" s="526"/>
      <c r="AK43" s="526"/>
      <c r="AL43" s="526"/>
      <c r="AM43" s="526"/>
      <c r="AN43" s="526"/>
    </row>
    <row r="44" spans="1:40" ht="12.75" customHeight="1" x14ac:dyDescent="0.25">
      <c r="A44" s="506">
        <v>1</v>
      </c>
      <c r="B44" s="290">
        <v>2</v>
      </c>
      <c r="C44" s="815">
        <v>3</v>
      </c>
      <c r="D44" s="815"/>
      <c r="E44" s="815">
        <v>4</v>
      </c>
      <c r="F44" s="815"/>
      <c r="G44" s="815">
        <v>5</v>
      </c>
      <c r="H44" s="815"/>
      <c r="I44" s="815">
        <v>6</v>
      </c>
      <c r="J44" s="815"/>
      <c r="K44" s="815">
        <v>7</v>
      </c>
      <c r="L44" s="815"/>
      <c r="M44" s="815">
        <v>8</v>
      </c>
      <c r="N44" s="815"/>
      <c r="O44" s="815">
        <v>9</v>
      </c>
      <c r="P44" s="815"/>
      <c r="Q44" s="917">
        <v>10</v>
      </c>
      <c r="R44" s="917"/>
      <c r="S44" s="815">
        <v>11</v>
      </c>
      <c r="T44" s="815"/>
      <c r="U44" s="815">
        <v>12</v>
      </c>
      <c r="V44" s="815"/>
      <c r="W44" s="815"/>
      <c r="X44" s="815"/>
      <c r="Y44" s="815"/>
      <c r="Z44" s="815">
        <v>13</v>
      </c>
      <c r="AA44" s="815"/>
      <c r="AB44" s="815"/>
      <c r="AC44" s="815"/>
      <c r="AD44" s="815"/>
      <c r="AE44" s="815"/>
      <c r="AF44" s="524"/>
      <c r="AG44" s="321"/>
      <c r="AH44" s="321"/>
      <c r="AI44" s="321"/>
      <c r="AJ44" s="321"/>
      <c r="AK44" s="321"/>
      <c r="AL44" s="321"/>
      <c r="AM44" s="321"/>
      <c r="AN44" s="321"/>
    </row>
    <row r="45" spans="1:40" ht="12.75" customHeight="1" x14ac:dyDescent="0.25">
      <c r="A45" s="515"/>
      <c r="B45" s="516"/>
      <c r="C45" s="942"/>
      <c r="D45" s="942"/>
      <c r="E45" s="920"/>
      <c r="F45" s="920"/>
      <c r="G45" s="920"/>
      <c r="H45" s="920"/>
      <c r="I45" s="920"/>
      <c r="J45" s="920"/>
      <c r="K45" s="920"/>
      <c r="L45" s="920"/>
      <c r="M45" s="919">
        <f>ROUND(SUM(O45,Q45,S45),2)</f>
        <v>0</v>
      </c>
      <c r="N45" s="919"/>
      <c r="O45" s="920"/>
      <c r="P45" s="920"/>
      <c r="Q45" s="920"/>
      <c r="R45" s="920"/>
      <c r="S45" s="920"/>
      <c r="T45" s="920"/>
      <c r="U45" s="918"/>
      <c r="V45" s="918"/>
      <c r="W45" s="918"/>
      <c r="X45" s="918"/>
      <c r="Y45" s="918"/>
      <c r="Z45" s="816"/>
      <c r="AA45" s="816"/>
      <c r="AB45" s="816"/>
      <c r="AC45" s="816"/>
      <c r="AD45" s="816"/>
      <c r="AE45" s="816"/>
      <c r="AF45" s="524"/>
      <c r="AG45" s="321"/>
      <c r="AH45" s="321"/>
      <c r="AI45" s="321"/>
      <c r="AJ45" s="321"/>
      <c r="AK45" s="321"/>
      <c r="AL45" s="321"/>
      <c r="AM45" s="321"/>
      <c r="AN45" s="321"/>
    </row>
    <row r="46" spans="1:40" ht="12.75" customHeight="1" x14ac:dyDescent="0.25">
      <c r="A46" s="527"/>
      <c r="B46" s="528"/>
      <c r="C46" s="945"/>
      <c r="D46" s="945"/>
      <c r="E46" s="946"/>
      <c r="F46" s="946"/>
      <c r="G46" s="946"/>
      <c r="H46" s="946"/>
      <c r="I46" s="946"/>
      <c r="J46" s="946"/>
      <c r="K46" s="946"/>
      <c r="L46" s="946"/>
      <c r="M46" s="947">
        <f>ROUND(SUM(O46,Q46,S46),2)</f>
        <v>0</v>
      </c>
      <c r="N46" s="947"/>
      <c r="O46" s="946"/>
      <c r="P46" s="946"/>
      <c r="Q46" s="946"/>
      <c r="R46" s="946"/>
      <c r="S46" s="946"/>
      <c r="T46" s="946"/>
      <c r="U46" s="943"/>
      <c r="V46" s="943"/>
      <c r="W46" s="943"/>
      <c r="X46" s="943"/>
      <c r="Y46" s="943"/>
      <c r="Z46" s="944"/>
      <c r="AA46" s="944"/>
      <c r="AB46" s="944"/>
      <c r="AC46" s="944"/>
      <c r="AD46" s="944"/>
      <c r="AE46" s="944"/>
      <c r="AF46" s="524"/>
      <c r="AG46" s="321"/>
      <c r="AH46" s="321"/>
      <c r="AI46" s="321"/>
      <c r="AJ46" s="321"/>
      <c r="AK46" s="321"/>
      <c r="AL46" s="321"/>
      <c r="AM46" s="321"/>
      <c r="AN46" s="321"/>
    </row>
    <row r="47" spans="1:40" ht="12.75" customHeight="1" x14ac:dyDescent="0.25">
      <c r="A47" s="527"/>
      <c r="B47" s="528"/>
      <c r="C47" s="945"/>
      <c r="D47" s="945"/>
      <c r="E47" s="946"/>
      <c r="F47" s="946"/>
      <c r="G47" s="946"/>
      <c r="H47" s="946"/>
      <c r="I47" s="946"/>
      <c r="J47" s="946"/>
      <c r="K47" s="946"/>
      <c r="L47" s="946"/>
      <c r="M47" s="947">
        <f>ROUND(SUM(O47,Q47,S47),2)</f>
        <v>0</v>
      </c>
      <c r="N47" s="947"/>
      <c r="O47" s="946"/>
      <c r="P47" s="946"/>
      <c r="Q47" s="946"/>
      <c r="R47" s="946"/>
      <c r="S47" s="946"/>
      <c r="T47" s="946"/>
      <c r="U47" s="943"/>
      <c r="V47" s="943"/>
      <c r="W47" s="943"/>
      <c r="X47" s="943"/>
      <c r="Y47" s="943"/>
      <c r="Z47" s="944"/>
      <c r="AA47" s="944"/>
      <c r="AB47" s="944"/>
      <c r="AC47" s="944"/>
      <c r="AD47" s="944"/>
      <c r="AE47" s="944"/>
      <c r="AF47" s="524"/>
      <c r="AG47" s="321"/>
      <c r="AH47" s="321"/>
      <c r="AI47" s="321"/>
      <c r="AJ47" s="321"/>
      <c r="AK47" s="321"/>
      <c r="AL47" s="321"/>
      <c r="AM47" s="321"/>
      <c r="AN47" s="321"/>
    </row>
    <row r="48" spans="1:40" ht="19.5" customHeight="1" x14ac:dyDescent="0.25">
      <c r="A48" s="948" t="s">
        <v>337</v>
      </c>
      <c r="B48" s="948"/>
      <c r="C48" s="948"/>
      <c r="D48" s="948"/>
      <c r="E48" s="947">
        <f>ROUND(SUM(E45:F47),2)</f>
        <v>0</v>
      </c>
      <c r="F48" s="947"/>
      <c r="G48" s="947">
        <f>ROUND(SUM(G45:H47),2)</f>
        <v>0</v>
      </c>
      <c r="H48" s="947"/>
      <c r="I48" s="947">
        <f>ROUND(SUM(I45:J47),2)</f>
        <v>0</v>
      </c>
      <c r="J48" s="947"/>
      <c r="K48" s="947">
        <f>ROUND(SUM(K45:L47),2)</f>
        <v>0</v>
      </c>
      <c r="L48" s="947"/>
      <c r="M48" s="947">
        <f>ROUND(SUM(M45:N47),2)</f>
        <v>0</v>
      </c>
      <c r="N48" s="947"/>
      <c r="O48" s="947">
        <f>ROUND(SUM(O45:P47),2)</f>
        <v>0</v>
      </c>
      <c r="P48" s="947"/>
      <c r="Q48" s="947">
        <f>ROUND(SUM(Q45:R47),2)</f>
        <v>0</v>
      </c>
      <c r="R48" s="947"/>
      <c r="S48" s="947">
        <f>ROUND(SUM(S45:T47),2)</f>
        <v>0</v>
      </c>
      <c r="T48" s="947"/>
      <c r="U48" s="943"/>
      <c r="V48" s="943"/>
      <c r="W48" s="943"/>
      <c r="X48" s="943"/>
      <c r="Y48" s="943"/>
      <c r="Z48" s="944"/>
      <c r="AA48" s="944"/>
      <c r="AB48" s="944"/>
      <c r="AC48" s="944"/>
      <c r="AD48" s="944"/>
      <c r="AE48" s="944"/>
      <c r="AF48" s="524"/>
      <c r="AG48" s="321"/>
      <c r="AH48" s="321"/>
      <c r="AI48" s="321"/>
      <c r="AJ48" s="321"/>
      <c r="AK48" s="321"/>
      <c r="AL48" s="321"/>
      <c r="AM48" s="321"/>
      <c r="AN48" s="321"/>
    </row>
    <row r="49" spans="1:40" ht="15.75" customHeight="1" x14ac:dyDescent="0.25">
      <c r="A49" s="57"/>
      <c r="B49" s="510" t="s">
        <v>714</v>
      </c>
      <c r="C49" s="529"/>
      <c r="D49" s="529"/>
      <c r="E49" s="529"/>
      <c r="F49" s="529"/>
      <c r="G49" s="529"/>
      <c r="H49" s="529"/>
      <c r="I49" s="529"/>
      <c r="J49" s="529"/>
      <c r="K49" s="529"/>
      <c r="L49" s="529"/>
      <c r="M49" s="529"/>
      <c r="N49" s="529"/>
      <c r="O49" s="529"/>
      <c r="P49" s="529"/>
      <c r="Q49" s="529"/>
      <c r="R49" s="529"/>
      <c r="S49" s="529"/>
      <c r="T49" s="529"/>
      <c r="U49" s="529"/>
      <c r="V49" s="529"/>
      <c r="W49" s="529"/>
      <c r="X49" s="529"/>
      <c r="Y49" s="529"/>
      <c r="Z49" s="529"/>
      <c r="AA49" s="529"/>
      <c r="AB49" s="529"/>
      <c r="AC49" s="529"/>
      <c r="AD49" s="529"/>
      <c r="AE49" s="504"/>
      <c r="AF49" s="524"/>
      <c r="AG49" s="321"/>
      <c r="AH49" s="321"/>
      <c r="AI49" s="321"/>
      <c r="AJ49" s="321"/>
      <c r="AK49" s="321"/>
      <c r="AL49" s="321"/>
      <c r="AM49" s="321"/>
      <c r="AN49" s="321"/>
    </row>
    <row r="50" spans="1:40" ht="18" customHeight="1" x14ac:dyDescent="0.25">
      <c r="A50" s="794" t="s">
        <v>676</v>
      </c>
      <c r="B50" s="794" t="s">
        <v>36</v>
      </c>
      <c r="C50" s="794"/>
      <c r="D50" s="794"/>
      <c r="E50" s="794"/>
      <c r="F50" s="794"/>
      <c r="G50" s="794"/>
      <c r="H50" s="794"/>
      <c r="I50" s="794"/>
      <c r="J50" s="794"/>
      <c r="K50" s="794" t="s">
        <v>38</v>
      </c>
      <c r="L50" s="794"/>
      <c r="M50" s="794"/>
      <c r="N50" s="794" t="s">
        <v>39</v>
      </c>
      <c r="O50" s="794"/>
      <c r="P50" s="794"/>
      <c r="Q50" s="794" t="s">
        <v>40</v>
      </c>
      <c r="R50" s="794"/>
      <c r="S50" s="794"/>
      <c r="T50" s="794" t="s">
        <v>88</v>
      </c>
      <c r="U50" s="794"/>
      <c r="V50" s="794"/>
      <c r="W50" s="794" t="s">
        <v>710</v>
      </c>
      <c r="X50" s="794"/>
      <c r="Y50" s="794"/>
      <c r="Z50" s="794"/>
      <c r="AA50" s="794"/>
      <c r="AB50" s="794"/>
      <c r="AC50" s="794"/>
      <c r="AD50" s="794"/>
      <c r="AE50" s="530"/>
      <c r="AF50" s="524"/>
      <c r="AG50" s="321"/>
      <c r="AH50" s="321"/>
      <c r="AI50" s="321"/>
      <c r="AJ50" s="321"/>
      <c r="AK50" s="321"/>
      <c r="AL50" s="321"/>
      <c r="AM50" s="321"/>
      <c r="AN50" s="321"/>
    </row>
    <row r="51" spans="1:40" ht="18" customHeight="1" x14ac:dyDescent="0.25">
      <c r="A51" s="794"/>
      <c r="B51" s="794"/>
      <c r="C51" s="794"/>
      <c r="D51" s="794"/>
      <c r="E51" s="794"/>
      <c r="F51" s="794"/>
      <c r="G51" s="794"/>
      <c r="H51" s="794"/>
      <c r="I51" s="794"/>
      <c r="J51" s="794"/>
      <c r="K51" s="794"/>
      <c r="L51" s="794"/>
      <c r="M51" s="794"/>
      <c r="N51" s="794"/>
      <c r="O51" s="794"/>
      <c r="P51" s="794"/>
      <c r="Q51" s="794"/>
      <c r="R51" s="794"/>
      <c r="S51" s="794"/>
      <c r="T51" s="794"/>
      <c r="U51" s="794"/>
      <c r="V51" s="794"/>
      <c r="W51" s="794" t="s">
        <v>343</v>
      </c>
      <c r="X51" s="794"/>
      <c r="Y51" s="794" t="s">
        <v>344</v>
      </c>
      <c r="Z51" s="794"/>
      <c r="AA51" s="794" t="s">
        <v>345</v>
      </c>
      <c r="AB51" s="794"/>
      <c r="AC51" s="794" t="s">
        <v>346</v>
      </c>
      <c r="AD51" s="794"/>
      <c r="AE51" s="530"/>
      <c r="AF51" s="524"/>
      <c r="AG51" s="321"/>
      <c r="AH51" s="321"/>
      <c r="AI51" s="321"/>
      <c r="AJ51" s="321"/>
      <c r="AK51" s="321"/>
      <c r="AL51" s="321"/>
      <c r="AM51" s="321"/>
      <c r="AN51" s="321"/>
    </row>
    <row r="52" spans="1:40" ht="4.5" customHeight="1" x14ac:dyDescent="0.25">
      <c r="A52" s="794"/>
      <c r="B52" s="794"/>
      <c r="C52" s="794"/>
      <c r="D52" s="794"/>
      <c r="E52" s="794"/>
      <c r="F52" s="794"/>
      <c r="G52" s="794"/>
      <c r="H52" s="794"/>
      <c r="I52" s="794"/>
      <c r="J52" s="794"/>
      <c r="K52" s="794"/>
      <c r="L52" s="794"/>
      <c r="M52" s="794"/>
      <c r="N52" s="794"/>
      <c r="O52" s="794"/>
      <c r="P52" s="794"/>
      <c r="Q52" s="794"/>
      <c r="R52" s="794"/>
      <c r="S52" s="794"/>
      <c r="T52" s="794"/>
      <c r="U52" s="794"/>
      <c r="V52" s="794"/>
      <c r="W52" s="794"/>
      <c r="X52" s="794"/>
      <c r="Y52" s="794"/>
      <c r="Z52" s="794"/>
      <c r="AA52" s="794"/>
      <c r="AB52" s="794"/>
      <c r="AC52" s="794"/>
      <c r="AD52" s="794"/>
      <c r="AE52" s="530"/>
      <c r="AF52" s="524"/>
      <c r="AG52" s="321"/>
      <c r="AH52" s="321"/>
      <c r="AI52" s="321"/>
      <c r="AJ52" s="321"/>
      <c r="AK52" s="321"/>
      <c r="AL52" s="321"/>
      <c r="AM52" s="321"/>
      <c r="AN52" s="321"/>
    </row>
    <row r="53" spans="1:40" ht="12.75" customHeight="1" x14ac:dyDescent="0.25">
      <c r="A53" s="1">
        <v>1</v>
      </c>
      <c r="B53" s="794">
        <v>2</v>
      </c>
      <c r="C53" s="794"/>
      <c r="D53" s="794"/>
      <c r="E53" s="794"/>
      <c r="F53" s="794"/>
      <c r="G53" s="794"/>
      <c r="H53" s="794"/>
      <c r="I53" s="794"/>
      <c r="J53" s="794"/>
      <c r="K53" s="794">
        <v>3</v>
      </c>
      <c r="L53" s="794"/>
      <c r="M53" s="794"/>
      <c r="N53" s="794">
        <v>4</v>
      </c>
      <c r="O53" s="794"/>
      <c r="P53" s="794"/>
      <c r="Q53" s="794">
        <v>5</v>
      </c>
      <c r="R53" s="794"/>
      <c r="S53" s="794"/>
      <c r="T53" s="794">
        <v>6</v>
      </c>
      <c r="U53" s="794"/>
      <c r="V53" s="794"/>
      <c r="W53" s="949" t="s">
        <v>715</v>
      </c>
      <c r="X53" s="949"/>
      <c r="Y53" s="949" t="s">
        <v>716</v>
      </c>
      <c r="Z53" s="949"/>
      <c r="AA53" s="949" t="s">
        <v>717</v>
      </c>
      <c r="AB53" s="949"/>
      <c r="AC53" s="949" t="s">
        <v>718</v>
      </c>
      <c r="AD53" s="949"/>
      <c r="AE53" s="530"/>
      <c r="AF53" s="524"/>
      <c r="AG53" s="321"/>
      <c r="AH53" s="321"/>
      <c r="AI53" s="321"/>
      <c r="AJ53" s="321"/>
      <c r="AK53" s="321"/>
      <c r="AL53" s="321"/>
      <c r="AM53" s="321"/>
      <c r="AN53" s="321"/>
    </row>
    <row r="54" spans="1:40" ht="18" customHeight="1" x14ac:dyDescent="0.25">
      <c r="A54" s="1"/>
      <c r="B54" s="950" t="s">
        <v>719</v>
      </c>
      <c r="C54" s="950"/>
      <c r="D54" s="950"/>
      <c r="E54" s="950"/>
      <c r="F54" s="950"/>
      <c r="G54" s="950"/>
      <c r="H54" s="950"/>
      <c r="I54" s="950"/>
      <c r="J54" s="950"/>
      <c r="K54" s="951"/>
      <c r="L54" s="951"/>
      <c r="M54" s="951"/>
      <c r="N54" s="951"/>
      <c r="O54" s="951"/>
      <c r="P54" s="951"/>
      <c r="Q54" s="951"/>
      <c r="R54" s="951"/>
      <c r="S54" s="951"/>
      <c r="T54" s="951" t="s">
        <v>366</v>
      </c>
      <c r="U54" s="951"/>
      <c r="V54" s="951"/>
      <c r="W54" s="949" t="s">
        <v>366</v>
      </c>
      <c r="X54" s="949"/>
      <c r="Y54" s="949" t="s">
        <v>366</v>
      </c>
      <c r="Z54" s="949"/>
      <c r="AA54" s="949" t="s">
        <v>366</v>
      </c>
      <c r="AB54" s="949"/>
      <c r="AC54" s="949" t="s">
        <v>366</v>
      </c>
      <c r="AD54" s="949"/>
      <c r="AE54" s="530"/>
      <c r="AF54" s="524"/>
      <c r="AG54" s="321"/>
      <c r="AH54" s="321"/>
      <c r="AI54" s="321"/>
      <c r="AJ54" s="321"/>
      <c r="AK54" s="321"/>
      <c r="AL54" s="321"/>
      <c r="AM54" s="321"/>
      <c r="AN54" s="321"/>
    </row>
    <row r="55" spans="1:40" ht="18" customHeight="1" x14ac:dyDescent="0.25">
      <c r="A55" s="1"/>
      <c r="B55" s="952" t="s">
        <v>720</v>
      </c>
      <c r="C55" s="952"/>
      <c r="D55" s="952"/>
      <c r="E55" s="952"/>
      <c r="F55" s="952"/>
      <c r="G55" s="952"/>
      <c r="H55" s="952"/>
      <c r="I55" s="952"/>
      <c r="J55" s="952"/>
      <c r="K55" s="951"/>
      <c r="L55" s="951"/>
      <c r="M55" s="951"/>
      <c r="N55" s="951"/>
      <c r="O55" s="951"/>
      <c r="P55" s="951"/>
      <c r="Q55" s="951"/>
      <c r="R55" s="951"/>
      <c r="S55" s="951"/>
      <c r="T55" s="951" t="s">
        <v>366</v>
      </c>
      <c r="U55" s="951"/>
      <c r="V55" s="951"/>
      <c r="W55" s="949" t="s">
        <v>366</v>
      </c>
      <c r="X55" s="949"/>
      <c r="Y55" s="949" t="s">
        <v>366</v>
      </c>
      <c r="Z55" s="949"/>
      <c r="AA55" s="949" t="s">
        <v>366</v>
      </c>
      <c r="AB55" s="949"/>
      <c r="AC55" s="949" t="s">
        <v>366</v>
      </c>
      <c r="AD55" s="949"/>
      <c r="AE55" s="530"/>
      <c r="AF55" s="524"/>
      <c r="AG55" s="321"/>
      <c r="AH55" s="321"/>
      <c r="AI55" s="321"/>
      <c r="AJ55" s="321"/>
      <c r="AK55" s="321"/>
      <c r="AL55" s="321"/>
      <c r="AM55" s="321"/>
      <c r="AN55" s="321"/>
    </row>
    <row r="56" spans="1:40" ht="18" customHeight="1" x14ac:dyDescent="0.25">
      <c r="A56" s="1"/>
      <c r="B56" s="952" t="s">
        <v>721</v>
      </c>
      <c r="C56" s="952"/>
      <c r="D56" s="952"/>
      <c r="E56" s="952"/>
      <c r="F56" s="952"/>
      <c r="G56" s="952"/>
      <c r="H56" s="952"/>
      <c r="I56" s="952"/>
      <c r="J56" s="952"/>
      <c r="K56" s="951"/>
      <c r="L56" s="951"/>
      <c r="M56" s="951"/>
      <c r="N56" s="951"/>
      <c r="O56" s="951"/>
      <c r="P56" s="951"/>
      <c r="Q56" s="951"/>
      <c r="R56" s="951"/>
      <c r="S56" s="951"/>
      <c r="T56" s="951" t="s">
        <v>366</v>
      </c>
      <c r="U56" s="951"/>
      <c r="V56" s="951"/>
      <c r="W56" s="949" t="s">
        <v>366</v>
      </c>
      <c r="X56" s="949"/>
      <c r="Y56" s="949" t="s">
        <v>366</v>
      </c>
      <c r="Z56" s="949"/>
      <c r="AA56" s="949" t="s">
        <v>366</v>
      </c>
      <c r="AB56" s="949"/>
      <c r="AC56" s="949" t="s">
        <v>366</v>
      </c>
      <c r="AD56" s="949"/>
      <c r="AE56" s="530"/>
      <c r="AF56" s="524"/>
      <c r="AG56" s="321"/>
      <c r="AH56" s="321"/>
      <c r="AI56" s="321"/>
      <c r="AJ56" s="321"/>
      <c r="AK56" s="321"/>
      <c r="AL56" s="321"/>
      <c r="AM56" s="321"/>
      <c r="AN56" s="321"/>
    </row>
    <row r="57" spans="1:40" ht="18" customHeight="1" x14ac:dyDescent="0.25">
      <c r="A57" s="1"/>
      <c r="B57" s="953" t="s">
        <v>722</v>
      </c>
      <c r="C57" s="953"/>
      <c r="D57" s="953"/>
      <c r="E57" s="953"/>
      <c r="F57" s="953"/>
      <c r="G57" s="953"/>
      <c r="H57" s="953"/>
      <c r="I57" s="953"/>
      <c r="J57" s="953"/>
      <c r="K57" s="951"/>
      <c r="L57" s="951"/>
      <c r="M57" s="951"/>
      <c r="N57" s="951"/>
      <c r="O57" s="951"/>
      <c r="P57" s="951"/>
      <c r="Q57" s="954"/>
      <c r="R57" s="954"/>
      <c r="S57" s="954"/>
      <c r="T57" s="951" t="s">
        <v>366</v>
      </c>
      <c r="U57" s="951"/>
      <c r="V57" s="951"/>
      <c r="W57" s="949" t="s">
        <v>366</v>
      </c>
      <c r="X57" s="949"/>
      <c r="Y57" s="949" t="s">
        <v>366</v>
      </c>
      <c r="Z57" s="949"/>
      <c r="AA57" s="949" t="s">
        <v>366</v>
      </c>
      <c r="AB57" s="949"/>
      <c r="AC57" s="949" t="s">
        <v>366</v>
      </c>
      <c r="AD57" s="949"/>
      <c r="AE57" s="530"/>
      <c r="AF57" s="524"/>
      <c r="AG57" s="321"/>
      <c r="AH57" s="321"/>
      <c r="AI57" s="321"/>
      <c r="AJ57" s="321"/>
      <c r="AK57" s="321"/>
      <c r="AL57" s="321"/>
      <c r="AM57" s="321"/>
      <c r="AN57" s="321"/>
    </row>
    <row r="58" spans="1:40" ht="18" customHeight="1" x14ac:dyDescent="0.25">
      <c r="A58" s="1"/>
      <c r="B58" s="952" t="s">
        <v>720</v>
      </c>
      <c r="C58" s="952"/>
      <c r="D58" s="952"/>
      <c r="E58" s="952"/>
      <c r="F58" s="952"/>
      <c r="G58" s="952"/>
      <c r="H58" s="952"/>
      <c r="I58" s="952"/>
      <c r="J58" s="952"/>
      <c r="K58" s="951"/>
      <c r="L58" s="951"/>
      <c r="M58" s="951"/>
      <c r="N58" s="951"/>
      <c r="O58" s="951"/>
      <c r="P58" s="951"/>
      <c r="Q58" s="954"/>
      <c r="R58" s="954"/>
      <c r="S58" s="954"/>
      <c r="T58" s="951" t="s">
        <v>366</v>
      </c>
      <c r="U58" s="951"/>
      <c r="V58" s="951"/>
      <c r="W58" s="949" t="s">
        <v>366</v>
      </c>
      <c r="X58" s="949"/>
      <c r="Y58" s="949" t="s">
        <v>366</v>
      </c>
      <c r="Z58" s="949"/>
      <c r="AA58" s="949" t="s">
        <v>366</v>
      </c>
      <c r="AB58" s="949"/>
      <c r="AC58" s="949" t="s">
        <v>366</v>
      </c>
      <c r="AD58" s="949"/>
      <c r="AE58" s="530"/>
      <c r="AF58" s="524"/>
      <c r="AG58" s="321"/>
      <c r="AH58" s="321"/>
      <c r="AI58" s="321"/>
      <c r="AJ58" s="321"/>
      <c r="AK58" s="321"/>
      <c r="AL58" s="321"/>
      <c r="AM58" s="321"/>
      <c r="AN58" s="321"/>
    </row>
    <row r="59" spans="1:40" ht="18" customHeight="1" x14ac:dyDescent="0.25">
      <c r="A59" s="531"/>
      <c r="B59" s="952" t="s">
        <v>721</v>
      </c>
      <c r="C59" s="952"/>
      <c r="D59" s="952"/>
      <c r="E59" s="952"/>
      <c r="F59" s="952"/>
      <c r="G59" s="952"/>
      <c r="H59" s="952"/>
      <c r="I59" s="952"/>
      <c r="J59" s="952"/>
      <c r="K59" s="951"/>
      <c r="L59" s="951"/>
      <c r="M59" s="951"/>
      <c r="N59" s="951"/>
      <c r="O59" s="951"/>
      <c r="P59" s="951"/>
      <c r="Q59" s="954"/>
      <c r="R59" s="954"/>
      <c r="S59" s="954"/>
      <c r="T59" s="951" t="s">
        <v>366</v>
      </c>
      <c r="U59" s="951"/>
      <c r="V59" s="951"/>
      <c r="W59" s="949" t="s">
        <v>366</v>
      </c>
      <c r="X59" s="949"/>
      <c r="Y59" s="949" t="s">
        <v>366</v>
      </c>
      <c r="Z59" s="949"/>
      <c r="AA59" s="949" t="s">
        <v>366</v>
      </c>
      <c r="AB59" s="949"/>
      <c r="AC59" s="949" t="s">
        <v>366</v>
      </c>
      <c r="AD59" s="949"/>
      <c r="AE59" s="530"/>
      <c r="AF59" s="524"/>
      <c r="AG59" s="321"/>
      <c r="AH59" s="321"/>
      <c r="AI59" s="321"/>
      <c r="AJ59" s="321"/>
      <c r="AK59" s="321"/>
      <c r="AL59" s="321"/>
      <c r="AM59" s="321"/>
      <c r="AN59" s="321"/>
    </row>
    <row r="60" spans="1:40" ht="15.75" customHeight="1" x14ac:dyDescent="0.25">
      <c r="A60" s="531"/>
      <c r="B60" s="955" t="s">
        <v>723</v>
      </c>
      <c r="C60" s="955"/>
      <c r="D60" s="955"/>
      <c r="E60" s="955"/>
      <c r="F60" s="955"/>
      <c r="G60" s="955"/>
      <c r="H60" s="955"/>
      <c r="I60" s="955"/>
      <c r="J60" s="955"/>
      <c r="K60" s="951"/>
      <c r="L60" s="951"/>
      <c r="M60" s="951"/>
      <c r="N60" s="951"/>
      <c r="O60" s="951"/>
      <c r="P60" s="951"/>
      <c r="Q60" s="954"/>
      <c r="R60" s="954"/>
      <c r="S60" s="954"/>
      <c r="T60" s="951" t="s">
        <v>366</v>
      </c>
      <c r="U60" s="951"/>
      <c r="V60" s="951"/>
      <c r="W60" s="949" t="s">
        <v>366</v>
      </c>
      <c r="X60" s="949"/>
      <c r="Y60" s="949" t="s">
        <v>366</v>
      </c>
      <c r="Z60" s="949"/>
      <c r="AA60" s="949" t="s">
        <v>366</v>
      </c>
      <c r="AB60" s="949"/>
      <c r="AC60" s="949" t="s">
        <v>366</v>
      </c>
      <c r="AD60" s="949"/>
      <c r="AE60" s="530"/>
      <c r="AF60" s="524"/>
      <c r="AG60" s="321"/>
      <c r="AH60" s="321"/>
      <c r="AI60" s="321" t="s">
        <v>341</v>
      </c>
      <c r="AJ60" s="321"/>
      <c r="AK60" s="321"/>
      <c r="AL60" s="321"/>
      <c r="AM60" s="321"/>
      <c r="AN60" s="321"/>
    </row>
    <row r="61" spans="1:40" ht="15.75" customHeight="1" x14ac:dyDescent="0.25">
      <c r="A61" s="531"/>
      <c r="B61" s="956" t="s">
        <v>724</v>
      </c>
      <c r="C61" s="956"/>
      <c r="D61" s="956"/>
      <c r="E61" s="956"/>
      <c r="F61" s="956"/>
      <c r="G61" s="956"/>
      <c r="H61" s="956"/>
      <c r="I61" s="956"/>
      <c r="J61" s="956"/>
      <c r="K61" s="957">
        <f>SUM(K62)</f>
        <v>68.8</v>
      </c>
      <c r="L61" s="957"/>
      <c r="M61" s="957"/>
      <c r="N61" s="957">
        <f>SUM(N62:P62)</f>
        <v>120</v>
      </c>
      <c r="O61" s="957"/>
      <c r="P61" s="957"/>
      <c r="Q61" s="957">
        <f>SUM(Q62:S62)</f>
        <v>120</v>
      </c>
      <c r="R61" s="957"/>
      <c r="S61" s="957"/>
      <c r="T61" s="958">
        <f>W61+Y61+AA61+AC61</f>
        <v>7193.8</v>
      </c>
      <c r="U61" s="958"/>
      <c r="V61" s="958"/>
      <c r="W61" s="958">
        <f>W63</f>
        <v>1697.7</v>
      </c>
      <c r="X61" s="958"/>
      <c r="Y61" s="958">
        <f>Y63</f>
        <v>1959.6</v>
      </c>
      <c r="Z61" s="958"/>
      <c r="AA61" s="958">
        <f>AA63</f>
        <v>1876.5</v>
      </c>
      <c r="AB61" s="958"/>
      <c r="AC61" s="958">
        <f>AC63</f>
        <v>1660</v>
      </c>
      <c r="AD61" s="958"/>
      <c r="AE61" s="530"/>
      <c r="AF61" s="524"/>
      <c r="AG61" s="321"/>
      <c r="AH61" s="321"/>
      <c r="AI61" s="321"/>
      <c r="AJ61" s="321"/>
      <c r="AK61" s="321"/>
      <c r="AL61" s="321"/>
      <c r="AM61" s="321"/>
      <c r="AN61" s="321"/>
    </row>
    <row r="62" spans="1:40" ht="35.25" customHeight="1" x14ac:dyDescent="0.3">
      <c r="A62" s="531"/>
      <c r="B62" s="959" t="s">
        <v>893</v>
      </c>
      <c r="C62" s="959"/>
      <c r="D62" s="959"/>
      <c r="E62" s="959"/>
      <c r="F62" s="959"/>
      <c r="G62" s="959"/>
      <c r="H62" s="959"/>
      <c r="I62" s="959"/>
      <c r="J62" s="959"/>
      <c r="K62" s="960">
        <f>SUM(K63:M63)</f>
        <v>68.8</v>
      </c>
      <c r="L62" s="960"/>
      <c r="M62" s="960"/>
      <c r="N62" s="960">
        <f>SUM(N63:P63)</f>
        <v>120</v>
      </c>
      <c r="O62" s="960"/>
      <c r="P62" s="960"/>
      <c r="Q62" s="960">
        <f>SUM(Q63:S63)</f>
        <v>120</v>
      </c>
      <c r="R62" s="960"/>
      <c r="S62" s="960"/>
      <c r="T62" s="961">
        <f>W62+Y62+AA62+AC62</f>
        <v>7193.8</v>
      </c>
      <c r="U62" s="961"/>
      <c r="V62" s="961"/>
      <c r="W62" s="961">
        <f>W63</f>
        <v>1697.7</v>
      </c>
      <c r="X62" s="961"/>
      <c r="Y62" s="961">
        <f>Y63</f>
        <v>1959.6</v>
      </c>
      <c r="Z62" s="961"/>
      <c r="AA62" s="961">
        <f>AA63</f>
        <v>1876.5</v>
      </c>
      <c r="AB62" s="961"/>
      <c r="AC62" s="961">
        <f>AC63</f>
        <v>1660</v>
      </c>
      <c r="AD62" s="961"/>
      <c r="AE62" s="530"/>
      <c r="AF62" s="524"/>
      <c r="AG62" s="321"/>
      <c r="AH62" s="321"/>
      <c r="AI62" s="321"/>
      <c r="AJ62" s="321"/>
      <c r="AK62" s="321"/>
      <c r="AL62" s="321"/>
      <c r="AM62" s="321"/>
      <c r="AN62" s="321"/>
    </row>
    <row r="63" spans="1:40" ht="33.75" customHeight="1" x14ac:dyDescent="0.3">
      <c r="A63" s="531"/>
      <c r="B63" s="962" t="s">
        <v>844</v>
      </c>
      <c r="C63" s="963"/>
      <c r="D63" s="963"/>
      <c r="E63" s="963"/>
      <c r="F63" s="963"/>
      <c r="G63" s="963"/>
      <c r="H63" s="963"/>
      <c r="I63" s="963"/>
      <c r="J63" s="963"/>
      <c r="K63" s="960">
        <v>68.8</v>
      </c>
      <c r="L63" s="960"/>
      <c r="M63" s="960"/>
      <c r="N63" s="964">
        <v>120</v>
      </c>
      <c r="O63" s="964"/>
      <c r="P63" s="964"/>
      <c r="Q63" s="964">
        <v>120</v>
      </c>
      <c r="R63" s="964"/>
      <c r="S63" s="964"/>
      <c r="T63" s="961">
        <f>W63+Y63+AA63+AC63</f>
        <v>7193.8</v>
      </c>
      <c r="U63" s="961"/>
      <c r="V63" s="961"/>
      <c r="W63" s="961">
        <f>-W66</f>
        <v>1697.7</v>
      </c>
      <c r="X63" s="961"/>
      <c r="Y63" s="961">
        <f t="shared" ref="Y63" si="0">-Y66</f>
        <v>1959.6</v>
      </c>
      <c r="Z63" s="961"/>
      <c r="AA63" s="961">
        <f t="shared" ref="AA63" si="1">-AA66</f>
        <v>1876.5</v>
      </c>
      <c r="AB63" s="961"/>
      <c r="AC63" s="961">
        <f>-AC66</f>
        <v>1660</v>
      </c>
      <c r="AD63" s="961"/>
      <c r="AE63" s="530"/>
      <c r="AF63" s="524"/>
      <c r="AG63" s="321"/>
      <c r="AH63" s="321"/>
      <c r="AI63" s="321"/>
      <c r="AJ63" s="321"/>
      <c r="AK63" s="321"/>
      <c r="AL63" s="321"/>
      <c r="AM63" s="321"/>
      <c r="AN63" s="321"/>
    </row>
    <row r="64" spans="1:40" ht="15.75" customHeight="1" x14ac:dyDescent="0.25">
      <c r="A64" s="531"/>
      <c r="B64" s="956" t="s">
        <v>725</v>
      </c>
      <c r="C64" s="956"/>
      <c r="D64" s="956"/>
      <c r="E64" s="956"/>
      <c r="F64" s="956"/>
      <c r="G64" s="956"/>
      <c r="H64" s="956"/>
      <c r="I64" s="956"/>
      <c r="J64" s="956"/>
      <c r="K64" s="957">
        <f>ROUND(SUM(K65),2)</f>
        <v>68.8</v>
      </c>
      <c r="L64" s="957"/>
      <c r="M64" s="957"/>
      <c r="N64" s="957" t="e">
        <f>ROUND(SUM(N65),2)</f>
        <v>#REF!</v>
      </c>
      <c r="O64" s="957"/>
      <c r="P64" s="957"/>
      <c r="Q64" s="957" t="e">
        <f>ROUND(SUM(Q65),2)</f>
        <v>#REF!</v>
      </c>
      <c r="R64" s="957"/>
      <c r="S64" s="957"/>
      <c r="T64" s="965">
        <f>T66</f>
        <v>-7193.7999999999993</v>
      </c>
      <c r="U64" s="965"/>
      <c r="V64" s="965"/>
      <c r="W64" s="966">
        <f>W65</f>
        <v>-1697.7</v>
      </c>
      <c r="X64" s="966"/>
      <c r="Y64" s="966">
        <f>Y65</f>
        <v>-1959.6</v>
      </c>
      <c r="Z64" s="966"/>
      <c r="AA64" s="966">
        <f>AA65</f>
        <v>-1876.5</v>
      </c>
      <c r="AB64" s="966"/>
      <c r="AC64" s="966">
        <f>AC65</f>
        <v>-1660</v>
      </c>
      <c r="AD64" s="966"/>
      <c r="AE64" s="530"/>
      <c r="AF64" s="530"/>
      <c r="AG64" s="321"/>
      <c r="AH64" s="321"/>
      <c r="AI64" s="321"/>
      <c r="AJ64" s="321"/>
      <c r="AK64" s="321"/>
      <c r="AL64" s="321"/>
      <c r="AM64" s="321"/>
      <c r="AN64" s="321"/>
    </row>
    <row r="65" spans="1:41" ht="33" customHeight="1" x14ac:dyDescent="0.3">
      <c r="A65" s="531"/>
      <c r="B65" s="959" t="s">
        <v>894</v>
      </c>
      <c r="C65" s="959"/>
      <c r="D65" s="959"/>
      <c r="E65" s="959"/>
      <c r="F65" s="959"/>
      <c r="G65" s="959"/>
      <c r="H65" s="959"/>
      <c r="I65" s="959"/>
      <c r="J65" s="959"/>
      <c r="K65" s="964">
        <f>SUM(K66:M69)</f>
        <v>68.8</v>
      </c>
      <c r="L65" s="964"/>
      <c r="M65" s="964"/>
      <c r="N65" s="964" t="e">
        <f>#REF!+N66+#REF!</f>
        <v>#REF!</v>
      </c>
      <c r="O65" s="964"/>
      <c r="P65" s="964"/>
      <c r="Q65" s="964" t="e">
        <f>#REF!+Q66+#REF!</f>
        <v>#REF!</v>
      </c>
      <c r="R65" s="964"/>
      <c r="S65" s="964"/>
      <c r="T65" s="968">
        <f>T66</f>
        <v>-7193.7999999999993</v>
      </c>
      <c r="U65" s="968"/>
      <c r="V65" s="968"/>
      <c r="W65" s="969">
        <f>W66</f>
        <v>-1697.7</v>
      </c>
      <c r="X65" s="969"/>
      <c r="Y65" s="969">
        <f>Y66</f>
        <v>-1959.6</v>
      </c>
      <c r="Z65" s="969"/>
      <c r="AA65" s="969">
        <f>AA66</f>
        <v>-1876.5</v>
      </c>
      <c r="AB65" s="969"/>
      <c r="AC65" s="969">
        <f>AC66</f>
        <v>-1660</v>
      </c>
      <c r="AD65" s="969"/>
      <c r="AE65" s="967"/>
      <c r="AF65" s="967"/>
      <c r="AG65" s="321"/>
      <c r="AH65" s="321"/>
      <c r="AI65" s="321"/>
      <c r="AJ65" s="321"/>
      <c r="AK65" s="321"/>
      <c r="AL65" s="321"/>
      <c r="AM65" s="321"/>
      <c r="AN65" s="321"/>
    </row>
    <row r="66" spans="1:41" ht="45" customHeight="1" x14ac:dyDescent="0.3">
      <c r="A66" s="531"/>
      <c r="B66" s="962" t="s">
        <v>844</v>
      </c>
      <c r="C66" s="963"/>
      <c r="D66" s="963"/>
      <c r="E66" s="963"/>
      <c r="F66" s="963"/>
      <c r="G66" s="963"/>
      <c r="H66" s="963"/>
      <c r="I66" s="963"/>
      <c r="J66" s="963"/>
      <c r="K66" s="960">
        <v>68.8</v>
      </c>
      <c r="L66" s="960"/>
      <c r="M66" s="960"/>
      <c r="N66" s="964">
        <f>N63</f>
        <v>120</v>
      </c>
      <c r="O66" s="964"/>
      <c r="P66" s="964"/>
      <c r="Q66" s="964" t="e">
        <f>Q67+Q68+#REF!+#REF!+#REF!</f>
        <v>#REF!</v>
      </c>
      <c r="R66" s="964"/>
      <c r="S66" s="964"/>
      <c r="T66" s="968">
        <f>SUM(T67:V69)</f>
        <v>-7193.7999999999993</v>
      </c>
      <c r="U66" s="968"/>
      <c r="V66" s="968"/>
      <c r="W66" s="969">
        <f>W67+W68+W69</f>
        <v>-1697.7</v>
      </c>
      <c r="X66" s="969"/>
      <c r="Y66" s="969">
        <f>Y67+Y68+Y69</f>
        <v>-1959.6</v>
      </c>
      <c r="Z66" s="969"/>
      <c r="AA66" s="969">
        <f>AA67+AA68+AA69</f>
        <v>-1876.5</v>
      </c>
      <c r="AB66" s="969"/>
      <c r="AC66" s="969">
        <f>AC67+AC68+AC69</f>
        <v>-1660</v>
      </c>
      <c r="AD66" s="969"/>
      <c r="AE66" s="530"/>
      <c r="AF66" s="524"/>
      <c r="AI66" s="321"/>
      <c r="AJ66" s="321"/>
      <c r="AK66" s="321"/>
      <c r="AL66" s="321"/>
      <c r="AM66" s="321"/>
      <c r="AN66" s="321"/>
      <c r="AO66" s="321"/>
    </row>
    <row r="67" spans="1:41" ht="17.25" customHeight="1" x14ac:dyDescent="0.3">
      <c r="A67" s="531"/>
      <c r="B67" s="963" t="s">
        <v>726</v>
      </c>
      <c r="C67" s="963"/>
      <c r="D67" s="963"/>
      <c r="E67" s="963"/>
      <c r="F67" s="963"/>
      <c r="G67" s="963"/>
      <c r="H67" s="963"/>
      <c r="I67" s="963"/>
      <c r="J67" s="963"/>
      <c r="K67" s="960"/>
      <c r="L67" s="960"/>
      <c r="M67" s="960"/>
      <c r="N67" s="964"/>
      <c r="O67" s="964"/>
      <c r="P67" s="964"/>
      <c r="Q67" s="964">
        <v>68.2</v>
      </c>
      <c r="R67" s="964"/>
      <c r="S67" s="964"/>
      <c r="T67" s="968">
        <f>W67+Y67+AA67+AC67</f>
        <v>-5896.5999999999995</v>
      </c>
      <c r="U67" s="968"/>
      <c r="V67" s="968"/>
      <c r="W67" s="969">
        <v>-1391.5</v>
      </c>
      <c r="X67" s="969"/>
      <c r="Y67" s="969">
        <v>-1606.3</v>
      </c>
      <c r="Z67" s="969"/>
      <c r="AA67" s="969">
        <v>-1538.1</v>
      </c>
      <c r="AB67" s="969"/>
      <c r="AC67" s="969">
        <v>-1360.7</v>
      </c>
      <c r="AD67" s="969"/>
      <c r="AE67" s="530"/>
      <c r="AF67" s="524"/>
      <c r="AI67" s="321"/>
      <c r="AJ67" s="321"/>
      <c r="AK67" s="321"/>
      <c r="AL67" s="532"/>
      <c r="AM67" s="532"/>
      <c r="AN67" s="532"/>
      <c r="AO67" s="532"/>
    </row>
    <row r="68" spans="1:41" ht="17.25" customHeight="1" x14ac:dyDescent="0.3">
      <c r="A68" s="531"/>
      <c r="B68" s="963" t="s">
        <v>727</v>
      </c>
      <c r="C68" s="963"/>
      <c r="D68" s="963"/>
      <c r="E68" s="963"/>
      <c r="F68" s="963"/>
      <c r="G68" s="963"/>
      <c r="H68" s="963"/>
      <c r="I68" s="963"/>
      <c r="J68" s="963"/>
      <c r="K68" s="960"/>
      <c r="L68" s="960"/>
      <c r="M68" s="960"/>
      <c r="N68" s="964"/>
      <c r="O68" s="964"/>
      <c r="P68" s="964"/>
      <c r="Q68" s="964">
        <v>15</v>
      </c>
      <c r="R68" s="964"/>
      <c r="S68" s="964"/>
      <c r="T68" s="968">
        <f>W68+Y68+AA68+AC68</f>
        <v>-1297.2</v>
      </c>
      <c r="U68" s="968"/>
      <c r="V68" s="968"/>
      <c r="W68" s="969">
        <v>-306.2</v>
      </c>
      <c r="X68" s="969"/>
      <c r="Y68" s="969">
        <v>-353.3</v>
      </c>
      <c r="Z68" s="969"/>
      <c r="AA68" s="969">
        <v>-338.4</v>
      </c>
      <c r="AB68" s="969"/>
      <c r="AC68" s="969">
        <v>-299.3</v>
      </c>
      <c r="AD68" s="969"/>
      <c r="AE68" s="967"/>
      <c r="AF68" s="967"/>
      <c r="AG68" s="321"/>
      <c r="AH68" s="321"/>
      <c r="AI68" s="321"/>
      <c r="AJ68" s="321"/>
      <c r="AK68" s="321"/>
      <c r="AL68" s="532"/>
      <c r="AM68" s="532"/>
      <c r="AN68" s="532"/>
      <c r="AO68" s="532"/>
    </row>
    <row r="69" spans="1:41" ht="17.25" customHeight="1" x14ac:dyDescent="0.3">
      <c r="A69" s="531"/>
      <c r="B69" s="963"/>
      <c r="C69" s="963"/>
      <c r="D69" s="963"/>
      <c r="E69" s="963"/>
      <c r="F69" s="963"/>
      <c r="G69" s="963"/>
      <c r="H69" s="963"/>
      <c r="I69" s="963"/>
      <c r="J69" s="963"/>
      <c r="K69" s="960"/>
      <c r="L69" s="960"/>
      <c r="M69" s="960"/>
      <c r="N69" s="964"/>
      <c r="O69" s="964"/>
      <c r="P69" s="964"/>
      <c r="Q69" s="964">
        <v>9.6</v>
      </c>
      <c r="R69" s="964"/>
      <c r="S69" s="964"/>
      <c r="T69" s="968"/>
      <c r="U69" s="968"/>
      <c r="V69" s="968"/>
      <c r="W69" s="968"/>
      <c r="X69" s="968"/>
      <c r="Y69" s="968"/>
      <c r="Z69" s="968"/>
      <c r="AA69" s="970"/>
      <c r="AB69" s="970"/>
      <c r="AC69" s="968"/>
      <c r="AD69" s="968"/>
      <c r="AE69" s="530"/>
      <c r="AF69" s="524"/>
      <c r="AG69" s="321"/>
      <c r="AH69" s="321"/>
      <c r="AI69" s="321"/>
      <c r="AJ69" s="321"/>
      <c r="AK69" s="321"/>
      <c r="AL69" s="321"/>
      <c r="AM69" s="321"/>
      <c r="AN69" s="321"/>
    </row>
    <row r="70" spans="1:41" ht="20.25" customHeight="1" x14ac:dyDescent="0.25">
      <c r="A70" s="971" t="s">
        <v>337</v>
      </c>
      <c r="B70" s="971"/>
      <c r="C70" s="971"/>
      <c r="D70" s="971"/>
      <c r="E70" s="971"/>
      <c r="F70" s="971"/>
      <c r="G70" s="971"/>
      <c r="H70" s="971"/>
      <c r="I70" s="971"/>
      <c r="J70" s="971"/>
      <c r="K70" s="972">
        <f>ROUND(K61-K64,2)</f>
        <v>0</v>
      </c>
      <c r="L70" s="972"/>
      <c r="M70" s="972"/>
      <c r="N70" s="972" t="e">
        <f>ROUND(N61-N64,2)</f>
        <v>#REF!</v>
      </c>
      <c r="O70" s="972"/>
      <c r="P70" s="972"/>
      <c r="Q70" s="972" t="e">
        <f>ROUND(Q61-Q64,2)</f>
        <v>#REF!</v>
      </c>
      <c r="R70" s="972"/>
      <c r="S70" s="972"/>
      <c r="T70" s="965">
        <f>T64</f>
        <v>-7193.7999999999993</v>
      </c>
      <c r="U70" s="965"/>
      <c r="V70" s="965"/>
      <c r="W70" s="973">
        <f>W64</f>
        <v>-1697.7</v>
      </c>
      <c r="X70" s="973"/>
      <c r="Y70" s="973">
        <f>Y64</f>
        <v>-1959.6</v>
      </c>
      <c r="Z70" s="973"/>
      <c r="AA70" s="966">
        <f>AA64</f>
        <v>-1876.5</v>
      </c>
      <c r="AB70" s="966"/>
      <c r="AC70" s="974">
        <f>AC64</f>
        <v>-1660</v>
      </c>
      <c r="AD70" s="974"/>
      <c r="AE70" s="533"/>
      <c r="AF70" s="530"/>
      <c r="AG70" s="321"/>
      <c r="AH70" s="321"/>
      <c r="AI70" s="321"/>
      <c r="AJ70" s="321"/>
      <c r="AK70" s="321"/>
      <c r="AL70" s="321"/>
      <c r="AM70" s="321"/>
      <c r="AN70" s="321"/>
    </row>
    <row r="71" spans="1:41" ht="12.75" customHeight="1" x14ac:dyDescent="0.2">
      <c r="A71" s="10"/>
      <c r="B71" s="534"/>
      <c r="C71" s="534"/>
      <c r="D71" s="534"/>
      <c r="E71" s="534"/>
      <c r="F71" s="534"/>
      <c r="G71" s="534"/>
      <c r="H71" s="534"/>
      <c r="I71" s="534"/>
      <c r="J71" s="534"/>
      <c r="K71" s="534"/>
      <c r="L71" s="534"/>
      <c r="M71" s="534"/>
      <c r="N71" s="534"/>
      <c r="O71" s="534"/>
      <c r="P71" s="534"/>
      <c r="Q71" s="534"/>
      <c r="R71" s="534"/>
      <c r="S71" s="534"/>
      <c r="T71" s="534"/>
      <c r="U71" s="534"/>
      <c r="V71" s="10"/>
      <c r="W71" s="10"/>
      <c r="X71" s="10"/>
      <c r="Y71" s="10"/>
      <c r="Z71" s="10"/>
      <c r="AA71" s="10"/>
      <c r="AB71" s="10"/>
      <c r="AC71" s="10"/>
      <c r="AD71" s="10"/>
      <c r="AE71" s="403"/>
      <c r="AF71" s="403"/>
      <c r="AG71" s="10"/>
      <c r="AH71" s="10"/>
      <c r="AI71" s="10"/>
      <c r="AJ71" s="10"/>
      <c r="AK71" s="10"/>
      <c r="AL71" s="10"/>
      <c r="AM71" s="10"/>
      <c r="AN71" s="10"/>
    </row>
    <row r="72" spans="1:41" ht="28.5" customHeight="1" x14ac:dyDescent="0.3">
      <c r="A72" s="321"/>
      <c r="B72" s="64" t="s">
        <v>85</v>
      </c>
      <c r="C72" s="320"/>
      <c r="D72" s="321"/>
      <c r="E72" s="321"/>
      <c r="F72" s="321"/>
      <c r="G72" s="320"/>
      <c r="H72" s="320"/>
      <c r="I72" s="321"/>
      <c r="J72" s="320"/>
      <c r="K72" s="321"/>
      <c r="L72" s="321"/>
      <c r="M72" s="321"/>
      <c r="N72" s="321"/>
      <c r="O72" s="321"/>
      <c r="P72" s="321"/>
      <c r="Q72" s="321"/>
      <c r="R72" s="321"/>
      <c r="S72" s="321"/>
      <c r="T72" s="321"/>
      <c r="U72" s="321"/>
      <c r="V72" s="321"/>
      <c r="W72" s="321"/>
      <c r="X72" s="321"/>
      <c r="Y72" s="320" t="s">
        <v>86</v>
      </c>
      <c r="Z72" s="321"/>
      <c r="AA72" s="321"/>
      <c r="AB72" s="321"/>
      <c r="AC72" s="321"/>
      <c r="AD72" s="321"/>
    </row>
    <row r="73" spans="1:41" ht="12.75" hidden="1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</sheetData>
  <mergeCells count="532">
    <mergeCell ref="A70:J70"/>
    <mergeCell ref="K70:M70"/>
    <mergeCell ref="N70:P70"/>
    <mergeCell ref="Q70:S70"/>
    <mergeCell ref="T70:V70"/>
    <mergeCell ref="W70:X70"/>
    <mergeCell ref="Y70:Z70"/>
    <mergeCell ref="AA70:AB70"/>
    <mergeCell ref="AC70:AD70"/>
    <mergeCell ref="AE68:AF68"/>
    <mergeCell ref="B69:J69"/>
    <mergeCell ref="K69:M69"/>
    <mergeCell ref="N69:P69"/>
    <mergeCell ref="Q69:S69"/>
    <mergeCell ref="T69:V69"/>
    <mergeCell ref="W69:X69"/>
    <mergeCell ref="Y69:Z69"/>
    <mergeCell ref="AA69:AB69"/>
    <mergeCell ref="AC69:AD69"/>
    <mergeCell ref="B68:J68"/>
    <mergeCell ref="K68:M68"/>
    <mergeCell ref="N68:P68"/>
    <mergeCell ref="Q68:S68"/>
    <mergeCell ref="T68:V68"/>
    <mergeCell ref="W68:X68"/>
    <mergeCell ref="Y68:Z68"/>
    <mergeCell ref="AA68:AB68"/>
    <mergeCell ref="AC68:AD68"/>
    <mergeCell ref="B67:J67"/>
    <mergeCell ref="K67:M67"/>
    <mergeCell ref="N67:P67"/>
    <mergeCell ref="Q67:S67"/>
    <mergeCell ref="T67:V67"/>
    <mergeCell ref="W67:X67"/>
    <mergeCell ref="Y67:Z67"/>
    <mergeCell ref="AA67:AB67"/>
    <mergeCell ref="AC67:AD67"/>
    <mergeCell ref="AE65:AF65"/>
    <mergeCell ref="B66:J66"/>
    <mergeCell ref="K66:M66"/>
    <mergeCell ref="N66:P66"/>
    <mergeCell ref="Q66:S66"/>
    <mergeCell ref="T66:V66"/>
    <mergeCell ref="W66:X66"/>
    <mergeCell ref="Y66:Z66"/>
    <mergeCell ref="AA66:AB66"/>
    <mergeCell ref="AC66:AD66"/>
    <mergeCell ref="B65:J65"/>
    <mergeCell ref="K65:M65"/>
    <mergeCell ref="N65:P65"/>
    <mergeCell ref="Q65:S65"/>
    <mergeCell ref="T65:V65"/>
    <mergeCell ref="W65:X65"/>
    <mergeCell ref="Y65:Z65"/>
    <mergeCell ref="AA65:AB65"/>
    <mergeCell ref="AC65:AD65"/>
    <mergeCell ref="B64:J64"/>
    <mergeCell ref="K64:M64"/>
    <mergeCell ref="N64:P64"/>
    <mergeCell ref="Q64:S64"/>
    <mergeCell ref="T64:V64"/>
    <mergeCell ref="W64:X64"/>
    <mergeCell ref="Y64:Z64"/>
    <mergeCell ref="AA64:AB64"/>
    <mergeCell ref="AC64:AD64"/>
    <mergeCell ref="B63:J63"/>
    <mergeCell ref="K63:M63"/>
    <mergeCell ref="N63:P63"/>
    <mergeCell ref="Q63:S63"/>
    <mergeCell ref="T63:V63"/>
    <mergeCell ref="W63:X63"/>
    <mergeCell ref="Y63:Z63"/>
    <mergeCell ref="AA63:AB63"/>
    <mergeCell ref="AC63:AD63"/>
    <mergeCell ref="B62:J62"/>
    <mergeCell ref="K62:M62"/>
    <mergeCell ref="N62:P62"/>
    <mergeCell ref="Q62:S62"/>
    <mergeCell ref="T62:V62"/>
    <mergeCell ref="W62:X62"/>
    <mergeCell ref="Y62:Z62"/>
    <mergeCell ref="AA62:AB62"/>
    <mergeCell ref="AC62:AD62"/>
    <mergeCell ref="B61:J61"/>
    <mergeCell ref="K61:M61"/>
    <mergeCell ref="N61:P61"/>
    <mergeCell ref="Q61:S61"/>
    <mergeCell ref="T61:V61"/>
    <mergeCell ref="W61:X61"/>
    <mergeCell ref="Y61:Z61"/>
    <mergeCell ref="AA61:AB61"/>
    <mergeCell ref="AC61:AD61"/>
    <mergeCell ref="B60:J60"/>
    <mergeCell ref="K60:M60"/>
    <mergeCell ref="N60:P60"/>
    <mergeCell ref="Q60:S60"/>
    <mergeCell ref="T60:V60"/>
    <mergeCell ref="W60:X60"/>
    <mergeCell ref="Y60:Z60"/>
    <mergeCell ref="AA60:AB60"/>
    <mergeCell ref="AC60:AD60"/>
    <mergeCell ref="B59:J59"/>
    <mergeCell ref="K59:M59"/>
    <mergeCell ref="N59:P59"/>
    <mergeCell ref="Q59:S59"/>
    <mergeCell ref="T59:V59"/>
    <mergeCell ref="W59:X59"/>
    <mergeCell ref="Y59:Z59"/>
    <mergeCell ref="AA59:AB59"/>
    <mergeCell ref="AC59:AD59"/>
    <mergeCell ref="B58:J58"/>
    <mergeCell ref="K58:M58"/>
    <mergeCell ref="N58:P58"/>
    <mergeCell ref="Q58:S58"/>
    <mergeCell ref="T58:V58"/>
    <mergeCell ref="W58:X58"/>
    <mergeCell ref="Y58:Z58"/>
    <mergeCell ref="AA58:AB58"/>
    <mergeCell ref="AC58:AD58"/>
    <mergeCell ref="B57:J57"/>
    <mergeCell ref="K57:M57"/>
    <mergeCell ref="N57:P57"/>
    <mergeCell ref="Q57:S57"/>
    <mergeCell ref="T57:V57"/>
    <mergeCell ref="W57:X57"/>
    <mergeCell ref="Y57:Z57"/>
    <mergeCell ref="AA57:AB57"/>
    <mergeCell ref="AC57:AD57"/>
    <mergeCell ref="B56:J56"/>
    <mergeCell ref="K56:M56"/>
    <mergeCell ref="N56:P56"/>
    <mergeCell ref="Q56:S56"/>
    <mergeCell ref="T56:V56"/>
    <mergeCell ref="W56:X56"/>
    <mergeCell ref="Y56:Z56"/>
    <mergeCell ref="AA56:AB56"/>
    <mergeCell ref="AC56:AD56"/>
    <mergeCell ref="B55:J55"/>
    <mergeCell ref="K55:M55"/>
    <mergeCell ref="N55:P55"/>
    <mergeCell ref="Q55:S55"/>
    <mergeCell ref="T55:V55"/>
    <mergeCell ref="W55:X55"/>
    <mergeCell ref="Y55:Z55"/>
    <mergeCell ref="AA55:AB55"/>
    <mergeCell ref="AC55:AD55"/>
    <mergeCell ref="B54:J54"/>
    <mergeCell ref="K54:M54"/>
    <mergeCell ref="N54:P54"/>
    <mergeCell ref="Q54:S54"/>
    <mergeCell ref="T54:V54"/>
    <mergeCell ref="W54:X54"/>
    <mergeCell ref="Y54:Z54"/>
    <mergeCell ref="AA54:AB54"/>
    <mergeCell ref="AC54:AD54"/>
    <mergeCell ref="B53:J53"/>
    <mergeCell ref="K53:M53"/>
    <mergeCell ref="N53:P53"/>
    <mergeCell ref="Q53:S53"/>
    <mergeCell ref="T53:V53"/>
    <mergeCell ref="W53:X53"/>
    <mergeCell ref="Y53:Z53"/>
    <mergeCell ref="AA53:AB53"/>
    <mergeCell ref="AC53:AD53"/>
    <mergeCell ref="U48:Y48"/>
    <mergeCell ref="Z48:AE48"/>
    <mergeCell ref="A50:A52"/>
    <mergeCell ref="B50:J52"/>
    <mergeCell ref="K50:M52"/>
    <mergeCell ref="N50:P52"/>
    <mergeCell ref="Q50:S52"/>
    <mergeCell ref="T50:V52"/>
    <mergeCell ref="W50:AD50"/>
    <mergeCell ref="W51:X52"/>
    <mergeCell ref="Y51:Z52"/>
    <mergeCell ref="AA51:AB52"/>
    <mergeCell ref="AC51:AD52"/>
    <mergeCell ref="A48:D48"/>
    <mergeCell ref="E48:F48"/>
    <mergeCell ref="G48:H48"/>
    <mergeCell ref="I48:J48"/>
    <mergeCell ref="K48:L48"/>
    <mergeCell ref="M48:N48"/>
    <mergeCell ref="O48:P48"/>
    <mergeCell ref="Q48:R48"/>
    <mergeCell ref="S48:T48"/>
    <mergeCell ref="U46:Y46"/>
    <mergeCell ref="Z46:AE46"/>
    <mergeCell ref="C47:D47"/>
    <mergeCell ref="E47:F47"/>
    <mergeCell ref="G47:H47"/>
    <mergeCell ref="I47:J47"/>
    <mergeCell ref="K47:L47"/>
    <mergeCell ref="M47:N47"/>
    <mergeCell ref="O47:P47"/>
    <mergeCell ref="Q47:R47"/>
    <mergeCell ref="S47:T47"/>
    <mergeCell ref="U47:Y47"/>
    <mergeCell ref="Z47:AE47"/>
    <mergeCell ref="C46:D46"/>
    <mergeCell ref="E46:F46"/>
    <mergeCell ref="G46:H46"/>
    <mergeCell ref="I46:J46"/>
    <mergeCell ref="K46:L46"/>
    <mergeCell ref="M46:N46"/>
    <mergeCell ref="O46:P46"/>
    <mergeCell ref="Q46:R46"/>
    <mergeCell ref="S46:T46"/>
    <mergeCell ref="U44:Y44"/>
    <mergeCell ref="Z44:AE44"/>
    <mergeCell ref="C45:D45"/>
    <mergeCell ref="E45:F45"/>
    <mergeCell ref="G45:H45"/>
    <mergeCell ref="I45:J45"/>
    <mergeCell ref="K45:L45"/>
    <mergeCell ref="M45:N45"/>
    <mergeCell ref="O45:P45"/>
    <mergeCell ref="Q45:R45"/>
    <mergeCell ref="S45:T45"/>
    <mergeCell ref="U45:Y45"/>
    <mergeCell ref="Z45:AE45"/>
    <mergeCell ref="C44:D44"/>
    <mergeCell ref="E44:F44"/>
    <mergeCell ref="G44:H44"/>
    <mergeCell ref="I44:J44"/>
    <mergeCell ref="K44:L44"/>
    <mergeCell ref="M44:N44"/>
    <mergeCell ref="O44:P44"/>
    <mergeCell ref="Q44:R44"/>
    <mergeCell ref="S44:T44"/>
    <mergeCell ref="AB38:AC38"/>
    <mergeCell ref="AD38:AE38"/>
    <mergeCell ref="A41:A43"/>
    <mergeCell ref="B41:B43"/>
    <mergeCell ref="C41:D43"/>
    <mergeCell ref="E41:F43"/>
    <mergeCell ref="G41:H43"/>
    <mergeCell ref="I41:J43"/>
    <mergeCell ref="K41:T41"/>
    <mergeCell ref="U41:Y43"/>
    <mergeCell ref="Z41:AE43"/>
    <mergeCell ref="K42:L43"/>
    <mergeCell ref="M42:N43"/>
    <mergeCell ref="O42:T42"/>
    <mergeCell ref="O43:P43"/>
    <mergeCell ref="Q43:R43"/>
    <mergeCell ref="S43:T43"/>
    <mergeCell ref="A38:F38"/>
    <mergeCell ref="L38:M38"/>
    <mergeCell ref="N38:O38"/>
    <mergeCell ref="P38:Q38"/>
    <mergeCell ref="R38:S38"/>
    <mergeCell ref="T38:U38"/>
    <mergeCell ref="V38:W38"/>
    <mergeCell ref="X38:Y38"/>
    <mergeCell ref="Z38:AA38"/>
    <mergeCell ref="AB36:AC36"/>
    <mergeCell ref="AD36:AE36"/>
    <mergeCell ref="A37:F37"/>
    <mergeCell ref="L37:M37"/>
    <mergeCell ref="N37:O37"/>
    <mergeCell ref="P37:Q37"/>
    <mergeCell ref="R37:S37"/>
    <mergeCell ref="T37:U37"/>
    <mergeCell ref="V37:W37"/>
    <mergeCell ref="X37:Y37"/>
    <mergeCell ref="Z37:AA37"/>
    <mergeCell ref="AB37:AC37"/>
    <mergeCell ref="AD37:AE37"/>
    <mergeCell ref="B36:F36"/>
    <mergeCell ref="L36:M36"/>
    <mergeCell ref="N36:O36"/>
    <mergeCell ref="P36:Q36"/>
    <mergeCell ref="R36:S36"/>
    <mergeCell ref="T36:U36"/>
    <mergeCell ref="V36:W36"/>
    <mergeCell ref="X36:Y36"/>
    <mergeCell ref="Z36:AA36"/>
    <mergeCell ref="AB34:AC34"/>
    <mergeCell ref="AD34:AE34"/>
    <mergeCell ref="B35:F35"/>
    <mergeCell ref="L35:M35"/>
    <mergeCell ref="N35:O35"/>
    <mergeCell ref="P35:Q35"/>
    <mergeCell ref="R35:S35"/>
    <mergeCell ref="T35:U35"/>
    <mergeCell ref="V35:W35"/>
    <mergeCell ref="X35:Y35"/>
    <mergeCell ref="Z35:AA35"/>
    <mergeCell ref="AB35:AC35"/>
    <mergeCell ref="AD35:AE35"/>
    <mergeCell ref="B34:F34"/>
    <mergeCell ref="L34:M34"/>
    <mergeCell ref="N34:O34"/>
    <mergeCell ref="P34:Q34"/>
    <mergeCell ref="R34:S34"/>
    <mergeCell ref="T34:U34"/>
    <mergeCell ref="V34:W34"/>
    <mergeCell ref="X34:Y34"/>
    <mergeCell ref="Z34:AA34"/>
    <mergeCell ref="A27:F27"/>
    <mergeCell ref="L27:M27"/>
    <mergeCell ref="AB32:AC32"/>
    <mergeCell ref="AD32:AE32"/>
    <mergeCell ref="B33:F33"/>
    <mergeCell ref="L33:M33"/>
    <mergeCell ref="N33:O33"/>
    <mergeCell ref="P33:Q33"/>
    <mergeCell ref="R33:S33"/>
    <mergeCell ref="T33:U33"/>
    <mergeCell ref="V33:W33"/>
    <mergeCell ref="X33:Y33"/>
    <mergeCell ref="Z33:AA33"/>
    <mergeCell ref="AB33:AC33"/>
    <mergeCell ref="AD33:AE33"/>
    <mergeCell ref="B32:F32"/>
    <mergeCell ref="L32:M32"/>
    <mergeCell ref="N32:O32"/>
    <mergeCell ref="P32:Q32"/>
    <mergeCell ref="R32:S32"/>
    <mergeCell ref="T32:U32"/>
    <mergeCell ref="V32:W32"/>
    <mergeCell ref="X32:Y32"/>
    <mergeCell ref="Z32:AA32"/>
    <mergeCell ref="B28:F28"/>
    <mergeCell ref="A29:A31"/>
    <mergeCell ref="B29:F31"/>
    <mergeCell ref="G29:K29"/>
    <mergeCell ref="L29:U29"/>
    <mergeCell ref="V29:AE29"/>
    <mergeCell ref="G30:G31"/>
    <mergeCell ref="H30:K30"/>
    <mergeCell ref="L30:M31"/>
    <mergeCell ref="N30:U30"/>
    <mergeCell ref="V30:W31"/>
    <mergeCell ref="X30:AE30"/>
    <mergeCell ref="N31:O31"/>
    <mergeCell ref="P31:Q31"/>
    <mergeCell ref="R31:S31"/>
    <mergeCell ref="T31:U31"/>
    <mergeCell ref="X31:Y31"/>
    <mergeCell ref="Z31:AA31"/>
    <mergeCell ref="AB31:AC31"/>
    <mergeCell ref="AD31:AE31"/>
    <mergeCell ref="N27:O27"/>
    <mergeCell ref="P27:Q27"/>
    <mergeCell ref="R27:S27"/>
    <mergeCell ref="T27:U27"/>
    <mergeCell ref="V27:W27"/>
    <mergeCell ref="X27:Y27"/>
    <mergeCell ref="Z27:AA27"/>
    <mergeCell ref="AB25:AC25"/>
    <mergeCell ref="AD25:AE25"/>
    <mergeCell ref="AB26:AC26"/>
    <mergeCell ref="AD26:AE26"/>
    <mergeCell ref="AB27:AC27"/>
    <mergeCell ref="AD27:AE27"/>
    <mergeCell ref="A26:F26"/>
    <mergeCell ref="L26:M26"/>
    <mergeCell ref="N26:O26"/>
    <mergeCell ref="P26:Q26"/>
    <mergeCell ref="R26:S26"/>
    <mergeCell ref="T26:U26"/>
    <mergeCell ref="V26:W26"/>
    <mergeCell ref="X26:Y26"/>
    <mergeCell ref="Z26:AA26"/>
    <mergeCell ref="B25:F25"/>
    <mergeCell ref="L25:M25"/>
    <mergeCell ref="N25:O25"/>
    <mergeCell ref="P25:Q25"/>
    <mergeCell ref="R25:S25"/>
    <mergeCell ref="T25:U25"/>
    <mergeCell ref="V25:W25"/>
    <mergeCell ref="X25:Y25"/>
    <mergeCell ref="Z25:AA25"/>
    <mergeCell ref="AB23:AC23"/>
    <mergeCell ref="AD23:AE23"/>
    <mergeCell ref="B24:F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B23:F23"/>
    <mergeCell ref="L23:M23"/>
    <mergeCell ref="N23:O23"/>
    <mergeCell ref="P23:Q23"/>
    <mergeCell ref="R23:S23"/>
    <mergeCell ref="T23:U23"/>
    <mergeCell ref="V23:W23"/>
    <mergeCell ref="X23:Y23"/>
    <mergeCell ref="Z23:AA23"/>
    <mergeCell ref="AD21:AE21"/>
    <mergeCell ref="B22:F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17:U17"/>
    <mergeCell ref="V17:W17"/>
    <mergeCell ref="X17:Y17"/>
    <mergeCell ref="Z17:AA17"/>
    <mergeCell ref="AB17:AC17"/>
    <mergeCell ref="AD17:AE17"/>
    <mergeCell ref="A19:A21"/>
    <mergeCell ref="B19:F21"/>
    <mergeCell ref="G19:K19"/>
    <mergeCell ref="L19:U19"/>
    <mergeCell ref="V19:AE19"/>
    <mergeCell ref="G20:G21"/>
    <mergeCell ref="H20:K20"/>
    <mergeCell ref="L20:M21"/>
    <mergeCell ref="N20:U20"/>
    <mergeCell ref="V20:W21"/>
    <mergeCell ref="X20:AE20"/>
    <mergeCell ref="N21:O21"/>
    <mergeCell ref="P21:Q21"/>
    <mergeCell ref="R21:S21"/>
    <mergeCell ref="T21:U21"/>
    <mergeCell ref="X21:Y21"/>
    <mergeCell ref="Z21:AA21"/>
    <mergeCell ref="AB21:AC21"/>
    <mergeCell ref="C15:F15"/>
    <mergeCell ref="G15:P15"/>
    <mergeCell ref="Q15:U15"/>
    <mergeCell ref="V15:W15"/>
    <mergeCell ref="X15:Y15"/>
    <mergeCell ref="Z15:AA15"/>
    <mergeCell ref="AB15:AC15"/>
    <mergeCell ref="AD15:AE15"/>
    <mergeCell ref="C16:F16"/>
    <mergeCell ref="G16:P16"/>
    <mergeCell ref="Q16:U16"/>
    <mergeCell ref="V16:W16"/>
    <mergeCell ref="X16:Y16"/>
    <mergeCell ref="Z16:AA16"/>
    <mergeCell ref="AB16:AC16"/>
    <mergeCell ref="AD16:AE16"/>
    <mergeCell ref="C13:F13"/>
    <mergeCell ref="G13:P13"/>
    <mergeCell ref="Q13:U13"/>
    <mergeCell ref="V13:W13"/>
    <mergeCell ref="X13:Y13"/>
    <mergeCell ref="Z13:AA13"/>
    <mergeCell ref="AB13:AC13"/>
    <mergeCell ref="AD13:AE13"/>
    <mergeCell ref="C14:F14"/>
    <mergeCell ref="G14:P14"/>
    <mergeCell ref="Q14:U14"/>
    <mergeCell ref="V14:W14"/>
    <mergeCell ref="X14:Y14"/>
    <mergeCell ref="Z14:AA14"/>
    <mergeCell ref="AB14:AC14"/>
    <mergeCell ref="AD14:AE14"/>
    <mergeCell ref="A8:L8"/>
    <mergeCell ref="M8:P8"/>
    <mergeCell ref="Q8:S8"/>
    <mergeCell ref="T8:V8"/>
    <mergeCell ref="W8:Y8"/>
    <mergeCell ref="Z8:AB8"/>
    <mergeCell ref="AC8:AE8"/>
    <mergeCell ref="A10:A12"/>
    <mergeCell ref="B10:B12"/>
    <mergeCell ref="C10:F12"/>
    <mergeCell ref="G10:P12"/>
    <mergeCell ref="Q10:U12"/>
    <mergeCell ref="V10:AE10"/>
    <mergeCell ref="V11:W12"/>
    <mergeCell ref="X11:AE11"/>
    <mergeCell ref="X12:Y12"/>
    <mergeCell ref="Z12:AA12"/>
    <mergeCell ref="AB12:AC12"/>
    <mergeCell ref="AD12:AE12"/>
    <mergeCell ref="C6:F6"/>
    <mergeCell ref="G6:L6"/>
    <mergeCell ref="M6:P6"/>
    <mergeCell ref="Q6:S6"/>
    <mergeCell ref="T6:V6"/>
    <mergeCell ref="W6:Y6"/>
    <mergeCell ref="Z6:AB6"/>
    <mergeCell ref="AC6:AE6"/>
    <mergeCell ref="C7:F7"/>
    <mergeCell ref="G7:L7"/>
    <mergeCell ref="M7:P7"/>
    <mergeCell ref="Q7:S7"/>
    <mergeCell ref="T7:V7"/>
    <mergeCell ref="W7:Y7"/>
    <mergeCell ref="Z7:AB7"/>
    <mergeCell ref="AC7:AE7"/>
    <mergeCell ref="C4:F4"/>
    <mergeCell ref="G4:L4"/>
    <mergeCell ref="M4:P4"/>
    <mergeCell ref="Q4:S4"/>
    <mergeCell ref="T4:V4"/>
    <mergeCell ref="W4:Y4"/>
    <mergeCell ref="Z4:AB4"/>
    <mergeCell ref="AC4:AE4"/>
    <mergeCell ref="C5:F5"/>
    <mergeCell ref="G5:L5"/>
    <mergeCell ref="M5:P5"/>
    <mergeCell ref="Q5:S5"/>
    <mergeCell ref="T5:V5"/>
    <mergeCell ref="W5:Y5"/>
    <mergeCell ref="Z5:AB5"/>
    <mergeCell ref="AC5:AE5"/>
    <mergeCell ref="C2:F2"/>
    <mergeCell ref="G2:L2"/>
    <mergeCell ref="M2:P2"/>
    <mergeCell ref="Q2:S2"/>
    <mergeCell ref="T2:V2"/>
    <mergeCell ref="W2:Y2"/>
    <mergeCell ref="Z2:AB2"/>
    <mergeCell ref="AC2:AE2"/>
    <mergeCell ref="C3:F3"/>
    <mergeCell ref="G3:L3"/>
    <mergeCell ref="M3:P3"/>
    <mergeCell ref="Q3:S3"/>
    <mergeCell ref="T3:V3"/>
    <mergeCell ref="W3:Y3"/>
    <mergeCell ref="Z3:AB3"/>
    <mergeCell ref="AC3:AE3"/>
  </mergeCells>
  <printOptions horizontalCentered="1"/>
  <pageMargins left="0.7" right="0.7" top="0.75" bottom="0.75" header="0.3" footer="0.3"/>
  <pageSetup paperSize="9" scale="68" firstPageNumber="0" pageOrder="overThenDown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99"/>
    <pageSetUpPr fitToPage="1"/>
  </sheetPr>
  <dimension ref="A1:Z999"/>
  <sheetViews>
    <sheetView view="pageBreakPreview" topLeftCell="A13" zoomScaleNormal="87" workbookViewId="0">
      <selection activeCell="L5" sqref="L5"/>
    </sheetView>
  </sheetViews>
  <sheetFormatPr defaultRowHeight="12.75" x14ac:dyDescent="0.2"/>
  <cols>
    <col min="1" max="1" width="3.42578125" customWidth="1"/>
    <col min="2" max="2" width="16" customWidth="1"/>
    <col min="3" max="3" width="19.42578125" customWidth="1"/>
    <col min="4" max="4" width="13.7109375" customWidth="1"/>
    <col min="5" max="5" width="8.85546875" customWidth="1"/>
    <col min="6" max="6" width="10.42578125" customWidth="1"/>
    <col min="7" max="7" width="9" customWidth="1"/>
    <col min="8" max="8" width="8" customWidth="1"/>
    <col min="9" max="9" width="8.140625" customWidth="1"/>
    <col min="10" max="10" width="9.42578125" customWidth="1"/>
    <col min="11" max="11" width="8.85546875" customWidth="1"/>
    <col min="12" max="12" width="7.7109375" customWidth="1"/>
    <col min="13" max="13" width="11" customWidth="1"/>
    <col min="14" max="14" width="8.42578125" customWidth="1"/>
    <col min="15" max="15" width="8" customWidth="1"/>
    <col min="16" max="26" width="7.7109375" customWidth="1"/>
    <col min="27" max="1025" width="12.140625" customWidth="1"/>
  </cols>
  <sheetData>
    <row r="1" spans="1:26" ht="28.5" customHeight="1" x14ac:dyDescent="0.2">
      <c r="A1" s="65"/>
      <c r="B1" s="65"/>
      <c r="C1" s="65"/>
      <c r="D1" s="65"/>
      <c r="E1" s="535"/>
      <c r="F1" s="535"/>
      <c r="G1" s="535"/>
      <c r="H1" s="535"/>
      <c r="I1" s="975" t="s">
        <v>728</v>
      </c>
      <c r="J1" s="975"/>
      <c r="K1" s="975"/>
      <c r="L1" s="975"/>
      <c r="M1" s="975"/>
      <c r="N1" s="975"/>
      <c r="O1" s="97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</row>
    <row r="2" spans="1:26" ht="44.25" customHeight="1" x14ac:dyDescent="0.2">
      <c r="A2" s="976" t="s">
        <v>729</v>
      </c>
      <c r="B2" s="976"/>
      <c r="C2" s="976"/>
      <c r="D2" s="976"/>
      <c r="E2" s="976"/>
      <c r="F2" s="976"/>
      <c r="G2" s="976"/>
      <c r="H2" s="976"/>
      <c r="I2" s="976"/>
      <c r="J2" s="976"/>
      <c r="K2" s="976"/>
      <c r="L2" s="976"/>
      <c r="M2" s="976"/>
      <c r="N2" s="976"/>
      <c r="O2" s="976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</row>
    <row r="3" spans="1:26" ht="17.25" customHeight="1" x14ac:dyDescent="0.2">
      <c r="A3" s="977" t="s">
        <v>841</v>
      </c>
      <c r="B3" s="978"/>
      <c r="C3" s="978"/>
      <c r="D3" s="978"/>
      <c r="E3" s="978"/>
      <c r="F3" s="978"/>
      <c r="G3" s="978"/>
      <c r="H3" s="978"/>
      <c r="I3" s="978"/>
      <c r="J3" s="978"/>
      <c r="K3" s="978"/>
      <c r="L3" s="978"/>
      <c r="M3" s="978"/>
      <c r="N3" s="978"/>
      <c r="O3" s="978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</row>
    <row r="4" spans="1:26" ht="15.75" customHeight="1" x14ac:dyDescent="0.2">
      <c r="A4" s="65"/>
      <c r="B4" s="979" t="s">
        <v>730</v>
      </c>
      <c r="C4" s="979"/>
      <c r="D4" s="979"/>
      <c r="E4" s="979"/>
      <c r="F4" s="979"/>
      <c r="G4" s="979"/>
      <c r="H4" s="979"/>
      <c r="I4" s="519"/>
      <c r="J4" s="519"/>
      <c r="K4" s="519"/>
      <c r="L4" s="519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</row>
    <row r="5" spans="1:26" ht="15.75" customHeight="1" x14ac:dyDescent="0.2">
      <c r="A5" s="65"/>
      <c r="B5" s="979" t="s">
        <v>731</v>
      </c>
      <c r="C5" s="979"/>
      <c r="D5" s="979"/>
      <c r="E5" s="979"/>
      <c r="F5" s="979"/>
      <c r="G5" s="979"/>
      <c r="H5" s="979"/>
      <c r="I5" s="519"/>
      <c r="J5" s="519"/>
      <c r="K5" s="519"/>
      <c r="L5" s="519" t="s">
        <v>341</v>
      </c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</row>
    <row r="6" spans="1:26" ht="9.75" customHeight="1" x14ac:dyDescent="0.2">
      <c r="A6" s="65"/>
      <c r="B6" s="519"/>
      <c r="C6" s="519"/>
      <c r="D6" s="519"/>
      <c r="E6" s="519"/>
      <c r="F6" s="519"/>
      <c r="G6" s="519"/>
      <c r="H6" s="519"/>
      <c r="I6" s="519"/>
      <c r="J6" s="519"/>
      <c r="K6" s="519"/>
      <c r="L6" s="519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</row>
    <row r="7" spans="1:26" ht="14.25" customHeight="1" x14ac:dyDescent="0.2">
      <c r="A7" s="981" t="s">
        <v>732</v>
      </c>
      <c r="B7" s="981"/>
      <c r="C7" s="981"/>
      <c r="D7" s="981"/>
      <c r="E7" s="537"/>
      <c r="F7" s="537"/>
      <c r="G7" s="537"/>
      <c r="H7" s="537"/>
      <c r="I7" s="537"/>
      <c r="J7" s="537"/>
      <c r="K7" s="537"/>
      <c r="L7" s="538"/>
      <c r="M7" s="538"/>
      <c r="N7" s="65"/>
      <c r="O7" s="538" t="s">
        <v>733</v>
      </c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</row>
    <row r="8" spans="1:26" ht="12.75" customHeight="1" x14ac:dyDescent="0.2">
      <c r="A8" s="982" t="s">
        <v>568</v>
      </c>
      <c r="B8" s="982" t="s">
        <v>734</v>
      </c>
      <c r="C8" s="982" t="s">
        <v>735</v>
      </c>
      <c r="D8" s="982" t="s">
        <v>736</v>
      </c>
      <c r="E8" s="982" t="s">
        <v>737</v>
      </c>
      <c r="F8" s="982"/>
      <c r="G8" s="982" t="s">
        <v>738</v>
      </c>
      <c r="H8" s="982"/>
      <c r="I8" s="982" t="s">
        <v>739</v>
      </c>
      <c r="J8" s="982"/>
      <c r="K8" s="982" t="s">
        <v>740</v>
      </c>
      <c r="L8" s="982"/>
      <c r="M8" s="980" t="s">
        <v>741</v>
      </c>
      <c r="N8" s="982" t="s">
        <v>742</v>
      </c>
      <c r="O8" s="982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</row>
    <row r="9" spans="1:26" ht="51" customHeight="1" x14ac:dyDescent="0.2">
      <c r="A9" s="982"/>
      <c r="B9" s="982"/>
      <c r="C9" s="982"/>
      <c r="D9" s="982"/>
      <c r="E9" s="982"/>
      <c r="F9" s="982"/>
      <c r="G9" s="982"/>
      <c r="H9" s="982"/>
      <c r="I9" s="982"/>
      <c r="J9" s="982"/>
      <c r="K9" s="982"/>
      <c r="L9" s="982"/>
      <c r="M9" s="980"/>
      <c r="N9" s="982"/>
      <c r="O9" s="982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</row>
    <row r="10" spans="1:26" ht="31.5" customHeight="1" x14ac:dyDescent="0.2">
      <c r="A10" s="982"/>
      <c r="B10" s="982"/>
      <c r="C10" s="982"/>
      <c r="D10" s="982"/>
      <c r="E10" s="41" t="s">
        <v>743</v>
      </c>
      <c r="F10" s="41" t="s">
        <v>608</v>
      </c>
      <c r="G10" s="41" t="s">
        <v>743</v>
      </c>
      <c r="H10" s="41" t="s">
        <v>608</v>
      </c>
      <c r="I10" s="41" t="s">
        <v>743</v>
      </c>
      <c r="J10" s="41" t="s">
        <v>608</v>
      </c>
      <c r="K10" s="41" t="s">
        <v>743</v>
      </c>
      <c r="L10" s="41" t="s">
        <v>608</v>
      </c>
      <c r="M10" s="41" t="s">
        <v>744</v>
      </c>
      <c r="N10" s="41" t="s">
        <v>743</v>
      </c>
      <c r="O10" s="41" t="s">
        <v>608</v>
      </c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</row>
    <row r="11" spans="1:26" ht="12.75" customHeight="1" x14ac:dyDescent="0.2">
      <c r="A11" s="539">
        <v>1</v>
      </c>
      <c r="B11" s="41">
        <v>2</v>
      </c>
      <c r="C11" s="41">
        <v>3</v>
      </c>
      <c r="D11" s="41">
        <v>4</v>
      </c>
      <c r="E11" s="41">
        <v>5</v>
      </c>
      <c r="F11" s="41">
        <v>6</v>
      </c>
      <c r="G11" s="41">
        <v>7</v>
      </c>
      <c r="H11" s="41">
        <v>8</v>
      </c>
      <c r="I11" s="41">
        <v>9</v>
      </c>
      <c r="J11" s="41">
        <v>10</v>
      </c>
      <c r="K11" s="41">
        <v>11</v>
      </c>
      <c r="L11" s="41">
        <v>12</v>
      </c>
      <c r="M11" s="539">
        <v>13</v>
      </c>
      <c r="N11" s="539">
        <v>14</v>
      </c>
      <c r="O11" s="539">
        <v>15</v>
      </c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</row>
    <row r="12" spans="1:26" ht="12.75" customHeight="1" x14ac:dyDescent="0.2">
      <c r="A12" s="540" t="s">
        <v>366</v>
      </c>
      <c r="B12" s="540" t="s">
        <v>366</v>
      </c>
      <c r="C12" s="540" t="s">
        <v>366</v>
      </c>
      <c r="D12" s="540" t="s">
        <v>366</v>
      </c>
      <c r="E12" s="540" t="s">
        <v>366</v>
      </c>
      <c r="F12" s="540" t="s">
        <v>366</v>
      </c>
      <c r="G12" s="540" t="s">
        <v>366</v>
      </c>
      <c r="H12" s="540" t="s">
        <v>366</v>
      </c>
      <c r="I12" s="540" t="s">
        <v>366</v>
      </c>
      <c r="J12" s="540" t="s">
        <v>366</v>
      </c>
      <c r="K12" s="540" t="s">
        <v>366</v>
      </c>
      <c r="L12" s="540" t="s">
        <v>366</v>
      </c>
      <c r="M12" s="540" t="s">
        <v>366</v>
      </c>
      <c r="N12" s="540" t="s">
        <v>366</v>
      </c>
      <c r="O12" s="540" t="s">
        <v>366</v>
      </c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</row>
    <row r="13" spans="1:26" ht="12.75" customHeight="1" x14ac:dyDescent="0.2">
      <c r="A13" s="541"/>
      <c r="B13" s="542"/>
      <c r="C13" s="542"/>
      <c r="D13" s="542"/>
      <c r="E13" s="542"/>
      <c r="F13" s="542"/>
      <c r="G13" s="542"/>
      <c r="H13" s="542"/>
      <c r="I13" s="542"/>
      <c r="J13" s="542"/>
      <c r="K13" s="542"/>
      <c r="L13" s="542"/>
      <c r="M13" s="541"/>
      <c r="N13" s="541"/>
      <c r="O13" s="541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</row>
    <row r="14" spans="1:26" ht="14.25" customHeight="1" x14ac:dyDescent="0.2">
      <c r="A14" s="981" t="s">
        <v>745</v>
      </c>
      <c r="B14" s="981"/>
      <c r="C14" s="981"/>
      <c r="D14" s="981"/>
      <c r="E14" s="537"/>
      <c r="F14" s="537"/>
      <c r="G14" s="537"/>
      <c r="H14" s="537"/>
      <c r="I14" s="537"/>
      <c r="J14" s="537"/>
      <c r="K14" s="537"/>
      <c r="L14" s="538"/>
      <c r="M14" s="538"/>
      <c r="N14" s="65"/>
      <c r="O14" s="538" t="s">
        <v>733</v>
      </c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</row>
    <row r="15" spans="1:26" ht="37.5" customHeight="1" x14ac:dyDescent="0.2">
      <c r="A15" s="982" t="s">
        <v>568</v>
      </c>
      <c r="B15" s="982" t="s">
        <v>734</v>
      </c>
      <c r="C15" s="982" t="s">
        <v>746</v>
      </c>
      <c r="D15" s="982" t="s">
        <v>736</v>
      </c>
      <c r="E15" s="982" t="s">
        <v>737</v>
      </c>
      <c r="F15" s="982"/>
      <c r="G15" s="982" t="s">
        <v>738</v>
      </c>
      <c r="H15" s="982"/>
      <c r="I15" s="982" t="s">
        <v>739</v>
      </c>
      <c r="J15" s="982"/>
      <c r="K15" s="982" t="s">
        <v>740</v>
      </c>
      <c r="L15" s="982"/>
      <c r="M15" s="980" t="s">
        <v>741</v>
      </c>
      <c r="N15" s="982" t="s">
        <v>742</v>
      </c>
      <c r="O15" s="982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</row>
    <row r="16" spans="1:26" ht="31.5" customHeight="1" x14ac:dyDescent="0.2">
      <c r="A16" s="982"/>
      <c r="B16" s="982"/>
      <c r="C16" s="982"/>
      <c r="D16" s="982"/>
      <c r="E16" s="982"/>
      <c r="F16" s="982"/>
      <c r="G16" s="982"/>
      <c r="H16" s="982"/>
      <c r="I16" s="982"/>
      <c r="J16" s="982"/>
      <c r="K16" s="982"/>
      <c r="L16" s="982"/>
      <c r="M16" s="980"/>
      <c r="N16" s="982"/>
      <c r="O16" s="982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</row>
    <row r="17" spans="1:26" ht="28.5" customHeight="1" x14ac:dyDescent="0.2">
      <c r="A17" s="982"/>
      <c r="B17" s="982"/>
      <c r="C17" s="982"/>
      <c r="D17" s="982"/>
      <c r="E17" s="41" t="s">
        <v>743</v>
      </c>
      <c r="F17" s="41" t="s">
        <v>608</v>
      </c>
      <c r="G17" s="41" t="s">
        <v>743</v>
      </c>
      <c r="H17" s="41" t="s">
        <v>608</v>
      </c>
      <c r="I17" s="41" t="s">
        <v>743</v>
      </c>
      <c r="J17" s="41" t="s">
        <v>608</v>
      </c>
      <c r="K17" s="41" t="s">
        <v>743</v>
      </c>
      <c r="L17" s="41" t="s">
        <v>608</v>
      </c>
      <c r="M17" s="41" t="s">
        <v>744</v>
      </c>
      <c r="N17" s="41" t="s">
        <v>743</v>
      </c>
      <c r="O17" s="41" t="s">
        <v>608</v>
      </c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</row>
    <row r="18" spans="1:26" ht="12.75" customHeight="1" x14ac:dyDescent="0.2">
      <c r="A18" s="539" t="s">
        <v>366</v>
      </c>
      <c r="B18" s="539" t="s">
        <v>366</v>
      </c>
      <c r="C18" s="539" t="s">
        <v>366</v>
      </c>
      <c r="D18" s="539" t="s">
        <v>366</v>
      </c>
      <c r="E18" s="539" t="s">
        <v>366</v>
      </c>
      <c r="F18" s="539" t="s">
        <v>366</v>
      </c>
      <c r="G18" s="539" t="s">
        <v>366</v>
      </c>
      <c r="H18" s="539" t="s">
        <v>366</v>
      </c>
      <c r="I18" s="539" t="s">
        <v>366</v>
      </c>
      <c r="J18" s="539" t="s">
        <v>366</v>
      </c>
      <c r="K18" s="539" t="s">
        <v>366</v>
      </c>
      <c r="L18" s="539" t="s">
        <v>366</v>
      </c>
      <c r="M18" s="539" t="s">
        <v>366</v>
      </c>
      <c r="N18" s="539" t="s">
        <v>366</v>
      </c>
      <c r="O18" s="539" t="s">
        <v>366</v>
      </c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</row>
    <row r="19" spans="1:26" ht="12.75" customHeight="1" x14ac:dyDescent="0.2">
      <c r="A19" s="543"/>
      <c r="B19" s="41"/>
      <c r="C19" s="41"/>
      <c r="D19" s="41"/>
      <c r="E19" s="41"/>
      <c r="F19" s="544"/>
      <c r="G19" s="41"/>
      <c r="H19" s="41"/>
      <c r="I19" s="41"/>
      <c r="J19" s="544"/>
      <c r="K19" s="41"/>
      <c r="L19" s="41"/>
      <c r="M19" s="543"/>
      <c r="N19" s="543"/>
      <c r="O19" s="543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</row>
    <row r="20" spans="1:26" ht="13.5" customHeight="1" x14ac:dyDescent="0.2">
      <c r="A20" s="540"/>
      <c r="B20" s="540"/>
      <c r="C20" s="540"/>
      <c r="D20" s="540"/>
      <c r="E20" s="540"/>
      <c r="F20" s="540"/>
      <c r="G20" s="41"/>
      <c r="H20" s="41"/>
      <c r="I20" s="41"/>
      <c r="J20" s="41"/>
      <c r="K20" s="41"/>
      <c r="L20" s="41"/>
      <c r="M20" s="545"/>
      <c r="N20" s="540"/>
      <c r="O20" s="540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</row>
    <row r="21" spans="1:26" ht="13.5" customHeight="1" x14ac:dyDescent="0.2">
      <c r="A21" s="65" t="s">
        <v>747</v>
      </c>
      <c r="B21" s="65"/>
      <c r="C21" s="65"/>
      <c r="D21" s="65"/>
      <c r="E21" s="65"/>
      <c r="F21" s="65"/>
      <c r="G21" s="546"/>
      <c r="H21" s="546"/>
      <c r="I21" s="546"/>
      <c r="J21" s="546"/>
      <c r="K21" s="546"/>
      <c r="L21" s="546"/>
      <c r="M21" s="538" t="s">
        <v>733</v>
      </c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</row>
    <row r="22" spans="1:26" ht="44.25" customHeight="1" x14ac:dyDescent="0.2">
      <c r="A22" s="547" t="s">
        <v>568</v>
      </c>
      <c r="B22" s="982" t="s">
        <v>734</v>
      </c>
      <c r="C22" s="982"/>
      <c r="D22" s="982" t="s">
        <v>748</v>
      </c>
      <c r="E22" s="982"/>
      <c r="F22" s="982"/>
      <c r="G22" s="982" t="s">
        <v>736</v>
      </c>
      <c r="H22" s="982"/>
      <c r="I22" s="982" t="s">
        <v>749</v>
      </c>
      <c r="J22" s="982"/>
      <c r="K22" s="982"/>
      <c r="L22" s="982" t="s">
        <v>741</v>
      </c>
      <c r="M22" s="982"/>
      <c r="N22" s="982"/>
      <c r="O22" s="982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</row>
    <row r="23" spans="1:26" ht="12" customHeight="1" x14ac:dyDescent="0.2">
      <c r="A23" s="41">
        <v>1</v>
      </c>
      <c r="B23" s="982">
        <v>2</v>
      </c>
      <c r="C23" s="982"/>
      <c r="D23" s="982">
        <v>3</v>
      </c>
      <c r="E23" s="982"/>
      <c r="F23" s="982"/>
      <c r="G23" s="982">
        <v>4</v>
      </c>
      <c r="H23" s="982"/>
      <c r="I23" s="982">
        <v>5</v>
      </c>
      <c r="J23" s="982"/>
      <c r="K23" s="982"/>
      <c r="L23" s="982">
        <v>6</v>
      </c>
      <c r="M23" s="982"/>
      <c r="N23" s="982"/>
      <c r="O23" s="982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</row>
    <row r="24" spans="1:26" ht="12.75" customHeight="1" x14ac:dyDescent="0.2">
      <c r="A24" s="65"/>
      <c r="B24" s="65"/>
      <c r="C24" s="65"/>
      <c r="D24" s="65"/>
      <c r="E24" s="499"/>
      <c r="F24" s="499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</row>
    <row r="25" spans="1:26" ht="15" customHeight="1" x14ac:dyDescent="0.3">
      <c r="A25" s="65"/>
      <c r="B25" s="64" t="s">
        <v>85</v>
      </c>
      <c r="C25" s="320"/>
      <c r="D25" s="321"/>
      <c r="E25" s="321"/>
      <c r="F25" s="321"/>
      <c r="G25" s="320"/>
      <c r="H25" s="320"/>
      <c r="I25" s="320" t="s">
        <v>86</v>
      </c>
      <c r="J25" s="320"/>
      <c r="K25" s="67"/>
      <c r="L25" s="67"/>
      <c r="M25" s="548"/>
      <c r="N25" s="548"/>
      <c r="O25" s="67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</row>
    <row r="26" spans="1:26" ht="12.75" customHeight="1" x14ac:dyDescent="0.25">
      <c r="A26" s="65"/>
      <c r="B26" s="549"/>
      <c r="C26" s="65"/>
      <c r="D26" s="65"/>
      <c r="E26" s="65"/>
      <c r="F26" s="65"/>
      <c r="G26" s="65"/>
      <c r="H26" s="65"/>
      <c r="I26" s="67"/>
      <c r="J26" s="67"/>
      <c r="K26" s="67"/>
      <c r="L26" s="67"/>
      <c r="M26" s="548"/>
      <c r="N26" s="548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</row>
    <row r="27" spans="1:26" ht="12.75" customHeight="1" x14ac:dyDescent="0.3">
      <c r="A27" s="65"/>
      <c r="B27" s="550"/>
      <c r="C27" s="65"/>
      <c r="D27" s="65"/>
      <c r="E27" s="65"/>
      <c r="F27" s="65"/>
      <c r="G27" s="65"/>
      <c r="H27" s="65"/>
      <c r="I27" s="67"/>
      <c r="J27" s="67"/>
      <c r="K27" s="67"/>
      <c r="L27" s="67"/>
      <c r="M27" s="548"/>
      <c r="N27" s="548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</row>
    <row r="28" spans="1:26" ht="19.5" hidden="1" customHeight="1" x14ac:dyDescent="0.3">
      <c r="A28" s="65"/>
      <c r="B28" s="64" t="s">
        <v>750</v>
      </c>
      <c r="C28" s="65"/>
      <c r="D28" s="65"/>
      <c r="E28" s="65"/>
      <c r="F28" s="65"/>
      <c r="G28" s="65"/>
      <c r="H28" s="65"/>
      <c r="I28" s="67"/>
      <c r="J28" s="67"/>
      <c r="K28" s="67"/>
      <c r="L28" s="67"/>
      <c r="M28" s="548"/>
      <c r="N28" s="548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</row>
    <row r="29" spans="1:26" ht="12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37">
    <mergeCell ref="B23:C23"/>
    <mergeCell ref="D23:F23"/>
    <mergeCell ref="G23:H23"/>
    <mergeCell ref="I23:K23"/>
    <mergeCell ref="L23:O23"/>
    <mergeCell ref="B22:C22"/>
    <mergeCell ref="D22:F22"/>
    <mergeCell ref="G22:H22"/>
    <mergeCell ref="I22:K22"/>
    <mergeCell ref="L22:O22"/>
    <mergeCell ref="N8:O9"/>
    <mergeCell ref="A14:D14"/>
    <mergeCell ref="A15:A17"/>
    <mergeCell ref="B15:B17"/>
    <mergeCell ref="C15:C17"/>
    <mergeCell ref="D15:D17"/>
    <mergeCell ref="E15:F16"/>
    <mergeCell ref="G15:H16"/>
    <mergeCell ref="I15:J16"/>
    <mergeCell ref="K15:L16"/>
    <mergeCell ref="M15:M16"/>
    <mergeCell ref="N15:O16"/>
    <mergeCell ref="E8:F9"/>
    <mergeCell ref="G8:H9"/>
    <mergeCell ref="I8:J9"/>
    <mergeCell ref="K8:L9"/>
    <mergeCell ref="M8:M9"/>
    <mergeCell ref="A7:D7"/>
    <mergeCell ref="A8:A10"/>
    <mergeCell ref="B8:B10"/>
    <mergeCell ref="C8:C10"/>
    <mergeCell ref="D8:D10"/>
    <mergeCell ref="I1:O1"/>
    <mergeCell ref="A2:O2"/>
    <mergeCell ref="A3:O3"/>
    <mergeCell ref="B4:H4"/>
    <mergeCell ref="B5:H5"/>
  </mergeCells>
  <printOptions horizontalCentered="1"/>
  <pageMargins left="0.7" right="0.7" top="0.75" bottom="0.75" header="0.51180555555555496" footer="0.51180555555555496"/>
  <pageSetup paperSize="9" scale="89" firstPageNumber="0" fitToHeight="0" pageOrder="overThenDown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99"/>
    <pageSetUpPr fitToPage="1"/>
  </sheetPr>
  <dimension ref="A1:Z999"/>
  <sheetViews>
    <sheetView view="pageBreakPreview" zoomScaleNormal="100" workbookViewId="0">
      <selection sqref="A1:G23"/>
    </sheetView>
  </sheetViews>
  <sheetFormatPr defaultRowHeight="12.75" x14ac:dyDescent="0.2"/>
  <cols>
    <col min="1" max="1" width="41.140625" customWidth="1"/>
    <col min="2" max="2" width="25" customWidth="1"/>
    <col min="3" max="3" width="20.140625" customWidth="1"/>
    <col min="4" max="4" width="17.7109375" hidden="1" customWidth="1"/>
    <col min="5" max="5" width="18.42578125" customWidth="1"/>
    <col min="6" max="6" width="22.42578125" customWidth="1"/>
    <col min="7" max="7" width="15.42578125" customWidth="1"/>
    <col min="8" max="8" width="17" customWidth="1"/>
    <col min="9" max="9" width="14" customWidth="1"/>
    <col min="10" max="10" width="19" customWidth="1"/>
    <col min="11" max="11" width="21.42578125" customWidth="1"/>
    <col min="12" max="12" width="21.7109375" customWidth="1"/>
    <col min="13" max="13" width="7.7109375" customWidth="1"/>
    <col min="14" max="14" width="14" customWidth="1"/>
    <col min="15" max="26" width="7.7109375" customWidth="1"/>
    <col min="27" max="1025" width="12.140625" customWidth="1"/>
  </cols>
  <sheetData>
    <row r="1" spans="1:26" ht="53.25" customHeight="1" x14ac:dyDescent="0.2">
      <c r="A1" s="65"/>
      <c r="B1" s="65"/>
      <c r="C1" s="65"/>
      <c r="D1" s="546"/>
      <c r="E1" s="546"/>
      <c r="F1" s="536" t="s">
        <v>751</v>
      </c>
      <c r="G1" s="499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</row>
    <row r="2" spans="1:26" ht="27.75" customHeight="1" x14ac:dyDescent="0.2">
      <c r="A2" s="976" t="s">
        <v>752</v>
      </c>
      <c r="B2" s="976"/>
      <c r="C2" s="976"/>
      <c r="D2" s="976"/>
      <c r="E2" s="976"/>
      <c r="F2" s="976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</row>
    <row r="3" spans="1:26" ht="16.5" customHeight="1" x14ac:dyDescent="0.2">
      <c r="A3" s="551"/>
      <c r="B3" s="983" t="s">
        <v>753</v>
      </c>
      <c r="C3" s="983"/>
      <c r="D3" s="983"/>
      <c r="E3" s="983"/>
      <c r="F3" s="53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</row>
    <row r="4" spans="1:26" ht="13.5" customHeight="1" x14ac:dyDescent="0.2">
      <c r="A4" s="984" t="s">
        <v>754</v>
      </c>
      <c r="B4" s="984"/>
      <c r="C4" s="984"/>
      <c r="D4" s="984"/>
      <c r="E4" s="984"/>
      <c r="F4" s="984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</row>
    <row r="5" spans="1:26" ht="93.75" customHeight="1" x14ac:dyDescent="0.2">
      <c r="A5" s="552" t="s">
        <v>755</v>
      </c>
      <c r="B5" s="552" t="s">
        <v>756</v>
      </c>
      <c r="C5" s="552" t="s">
        <v>871</v>
      </c>
      <c r="D5" s="552" t="s">
        <v>757</v>
      </c>
      <c r="E5" s="552" t="s">
        <v>890</v>
      </c>
      <c r="F5" s="552" t="s">
        <v>758</v>
      </c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</row>
    <row r="6" spans="1:26" ht="21.75" customHeight="1" x14ac:dyDescent="0.2">
      <c r="A6" s="553" t="s">
        <v>759</v>
      </c>
      <c r="B6" s="552"/>
      <c r="C6" s="554">
        <v>0</v>
      </c>
      <c r="D6" s="555">
        <v>0</v>
      </c>
      <c r="E6" s="554">
        <v>0</v>
      </c>
      <c r="F6" s="554">
        <v>0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</row>
    <row r="7" spans="1:26" ht="21.75" customHeight="1" x14ac:dyDescent="0.2">
      <c r="A7" s="556" t="s">
        <v>760</v>
      </c>
      <c r="B7" s="557"/>
      <c r="C7" s="558">
        <v>0</v>
      </c>
      <c r="D7" s="555">
        <v>0</v>
      </c>
      <c r="E7" s="555">
        <v>0</v>
      </c>
      <c r="F7" s="555">
        <v>0</v>
      </c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</row>
    <row r="8" spans="1:26" ht="48.75" customHeight="1" x14ac:dyDescent="0.2">
      <c r="A8" s="553" t="s">
        <v>761</v>
      </c>
      <c r="B8" s="552" t="s">
        <v>762</v>
      </c>
      <c r="C8" s="554">
        <v>212.3</v>
      </c>
      <c r="D8" s="554">
        <v>124.6</v>
      </c>
      <c r="E8" s="554">
        <v>53.6</v>
      </c>
      <c r="F8" s="554">
        <f t="shared" ref="F8:F16" si="0">E8</f>
        <v>53.6</v>
      </c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</row>
    <row r="9" spans="1:26" ht="21.75" customHeight="1" x14ac:dyDescent="0.2">
      <c r="A9" s="556" t="s">
        <v>760</v>
      </c>
      <c r="B9" s="557"/>
      <c r="C9" s="558">
        <v>0</v>
      </c>
      <c r="D9" s="558">
        <v>0</v>
      </c>
      <c r="E9" s="555">
        <f t="shared" ref="E9:E12" si="1">C9-D9</f>
        <v>0</v>
      </c>
      <c r="F9" s="554">
        <f t="shared" si="0"/>
        <v>0</v>
      </c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</row>
    <row r="10" spans="1:26" ht="36" customHeight="1" x14ac:dyDescent="0.2">
      <c r="A10" s="553" t="s">
        <v>763</v>
      </c>
      <c r="B10" s="552"/>
      <c r="C10" s="554">
        <v>1123.7</v>
      </c>
      <c r="D10" s="554">
        <v>2474.6</v>
      </c>
      <c r="E10" s="554">
        <v>424.9</v>
      </c>
      <c r="F10" s="554">
        <f t="shared" si="0"/>
        <v>424.9</v>
      </c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</row>
    <row r="11" spans="1:26" ht="21.75" customHeight="1" x14ac:dyDescent="0.2">
      <c r="A11" s="553" t="s">
        <v>764</v>
      </c>
      <c r="B11" s="552"/>
      <c r="C11" s="554">
        <v>0</v>
      </c>
      <c r="D11" s="559">
        <v>0</v>
      </c>
      <c r="E11" s="554">
        <f t="shared" si="1"/>
        <v>0</v>
      </c>
      <c r="F11" s="554">
        <f t="shared" si="0"/>
        <v>0</v>
      </c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</row>
    <row r="12" spans="1:26" ht="21.75" customHeight="1" x14ac:dyDescent="0.2">
      <c r="A12" s="556" t="s">
        <v>765</v>
      </c>
      <c r="B12" s="557"/>
      <c r="C12" s="555">
        <v>0</v>
      </c>
      <c r="D12" s="560">
        <v>0</v>
      </c>
      <c r="E12" s="555">
        <f t="shared" si="1"/>
        <v>0</v>
      </c>
      <c r="F12" s="554">
        <f t="shared" si="0"/>
        <v>0</v>
      </c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</row>
    <row r="13" spans="1:26" ht="21.75" customHeight="1" x14ac:dyDescent="0.2">
      <c r="A13" s="553" t="s">
        <v>766</v>
      </c>
      <c r="B13" s="552"/>
      <c r="C13" s="554">
        <v>578.20000000000005</v>
      </c>
      <c r="D13" s="554">
        <v>347</v>
      </c>
      <c r="E13" s="554">
        <v>425.9</v>
      </c>
      <c r="F13" s="554">
        <f t="shared" si="0"/>
        <v>425.9</v>
      </c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</row>
    <row r="14" spans="1:26" ht="34.5" customHeight="1" x14ac:dyDescent="0.2">
      <c r="A14" s="553" t="s">
        <v>767</v>
      </c>
      <c r="B14" s="552"/>
      <c r="C14" s="554">
        <v>0</v>
      </c>
      <c r="D14" s="554">
        <v>0</v>
      </c>
      <c r="E14" s="554">
        <v>0</v>
      </c>
      <c r="F14" s="554">
        <f t="shared" si="0"/>
        <v>0</v>
      </c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</row>
    <row r="15" spans="1:26" ht="36" customHeight="1" x14ac:dyDescent="0.2">
      <c r="A15" s="553" t="s">
        <v>768</v>
      </c>
      <c r="B15" s="552"/>
      <c r="C15" s="554">
        <v>0</v>
      </c>
      <c r="D15" s="554">
        <v>0</v>
      </c>
      <c r="E15" s="554">
        <v>10.5</v>
      </c>
      <c r="F15" s="554">
        <f t="shared" si="0"/>
        <v>10.5</v>
      </c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</row>
    <row r="16" spans="1:26" ht="18.75" x14ac:dyDescent="0.2">
      <c r="A16" s="556" t="s">
        <v>769</v>
      </c>
      <c r="B16" s="557"/>
      <c r="C16" s="555">
        <v>152</v>
      </c>
      <c r="D16" s="561"/>
      <c r="E16" s="555">
        <v>74.599999999999994</v>
      </c>
      <c r="F16" s="554">
        <f t="shared" si="0"/>
        <v>74.599999999999994</v>
      </c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</row>
    <row r="17" spans="1:26" ht="37.5" customHeight="1" x14ac:dyDescent="0.2">
      <c r="A17" s="985" t="s">
        <v>603</v>
      </c>
      <c r="B17" s="985"/>
      <c r="C17" s="562">
        <v>1941.6</v>
      </c>
      <c r="D17" s="562">
        <f>ROUND(D6+D8+D10+D11+D13+D14+D15,2)</f>
        <v>2946.2</v>
      </c>
      <c r="E17" s="562">
        <f>ROUND(E6+E8+E10+E11+E13+E15+E16+E14,2)</f>
        <v>989.5</v>
      </c>
      <c r="F17" s="562">
        <f>ROUND(F6+F8+F10+F11+F13+F15+F16+F14,2)</f>
        <v>989.5</v>
      </c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</row>
    <row r="18" spans="1:26" ht="12.75" customHeight="1" x14ac:dyDescent="0.2">
      <c r="A18" s="563"/>
      <c r="B18" s="564"/>
      <c r="C18" s="564"/>
      <c r="D18" s="565"/>
      <c r="E18" s="565"/>
      <c r="F18" s="564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</row>
    <row r="19" spans="1:26" ht="29.25" customHeight="1" x14ac:dyDescent="0.3">
      <c r="A19" s="64" t="s">
        <v>85</v>
      </c>
      <c r="B19" s="320"/>
      <c r="C19" s="321"/>
      <c r="D19" s="321"/>
      <c r="E19" s="320"/>
      <c r="F19" s="320" t="s">
        <v>86</v>
      </c>
      <c r="G19" s="320"/>
      <c r="H19" s="320"/>
      <c r="I19" s="67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</row>
    <row r="20" spans="1:26" ht="12.75" customHeight="1" x14ac:dyDescent="0.25">
      <c r="A20" s="549"/>
      <c r="B20" s="65"/>
      <c r="C20" s="65"/>
      <c r="D20" s="65"/>
      <c r="E20" s="67"/>
      <c r="F20" s="67"/>
      <c r="G20" s="67"/>
      <c r="H20" s="67"/>
      <c r="I20" s="67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</row>
    <row r="21" spans="1:26" ht="12.75" customHeight="1" x14ac:dyDescent="0.3">
      <c r="A21" s="550"/>
      <c r="B21" s="65"/>
      <c r="C21" s="65"/>
      <c r="D21" s="65"/>
      <c r="E21" s="67"/>
      <c r="F21" s="67"/>
      <c r="G21" s="67"/>
      <c r="H21" s="67"/>
      <c r="I21" s="67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</row>
    <row r="22" spans="1:26" ht="19.5" customHeight="1" x14ac:dyDescent="0.3">
      <c r="A22" s="64" t="s">
        <v>750</v>
      </c>
      <c r="B22" s="65"/>
      <c r="C22" s="65"/>
      <c r="D22" s="65"/>
      <c r="E22" s="67"/>
      <c r="F22" s="320" t="s">
        <v>826</v>
      </c>
      <c r="G22" s="67"/>
      <c r="H22" s="67"/>
      <c r="I22" s="67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</row>
    <row r="23" spans="1:26" ht="12.75" customHeight="1" x14ac:dyDescent="0.3">
      <c r="A23" s="550"/>
      <c r="B23" s="65"/>
      <c r="C23" s="65"/>
      <c r="D23" s="65"/>
      <c r="E23" s="67"/>
      <c r="F23" s="67"/>
      <c r="G23" s="67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</row>
    <row r="24" spans="1:26" ht="46.5" customHeight="1" x14ac:dyDescent="0.2">
      <c r="A24" s="986" t="s">
        <v>770</v>
      </c>
      <c r="B24" s="986"/>
      <c r="C24" s="986"/>
      <c r="D24" s="986"/>
      <c r="E24" s="986"/>
      <c r="F24" s="986"/>
      <c r="G24" s="535"/>
      <c r="H24" s="53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</row>
    <row r="25" spans="1:26" ht="20.25" customHeight="1" x14ac:dyDescent="0.25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7"/>
      <c r="N25" s="67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</row>
    <row r="26" spans="1:26" ht="21.75" customHeight="1" x14ac:dyDescent="0.25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7"/>
      <c r="N26" s="67"/>
      <c r="O26" s="524"/>
      <c r="P26" s="524"/>
      <c r="Q26" s="524"/>
      <c r="R26" s="524"/>
      <c r="S26" s="524"/>
      <c r="T26" s="524"/>
      <c r="U26" s="524"/>
      <c r="V26" s="524"/>
      <c r="W26" s="524"/>
      <c r="X26" s="524"/>
      <c r="Y26" s="524"/>
      <c r="Z26" s="524"/>
    </row>
    <row r="27" spans="1:26" ht="28.5" customHeight="1" x14ac:dyDescent="0.25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7"/>
      <c r="N27" s="67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</row>
    <row r="28" spans="1:26" ht="25.5" customHeight="1" x14ac:dyDescent="0.25">
      <c r="A28" s="566"/>
      <c r="B28" s="566"/>
      <c r="C28" s="566"/>
      <c r="D28" s="567" t="s">
        <v>771</v>
      </c>
      <c r="E28" s="567" t="s">
        <v>772</v>
      </c>
      <c r="F28" s="566" t="s">
        <v>773</v>
      </c>
      <c r="G28" s="568" t="s">
        <v>774</v>
      </c>
      <c r="H28" s="568" t="s">
        <v>775</v>
      </c>
      <c r="I28" s="569" t="s">
        <v>776</v>
      </c>
      <c r="J28" s="65"/>
      <c r="K28" s="65"/>
      <c r="L28" s="65"/>
      <c r="M28" s="67"/>
      <c r="N28" s="67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</row>
    <row r="29" spans="1:26" ht="12.75" customHeight="1" x14ac:dyDescent="0.25">
      <c r="A29" s="570" t="s">
        <v>777</v>
      </c>
      <c r="B29" s="571"/>
      <c r="C29" s="572"/>
      <c r="D29" s="573">
        <v>212255.56</v>
      </c>
      <c r="E29" s="571">
        <v>36643</v>
      </c>
      <c r="F29" s="571">
        <f>21225.6/12*9</f>
        <v>15919.199999999999</v>
      </c>
      <c r="G29" s="574" t="e">
        <f>E29+F29+#REF!</f>
        <v>#REF!</v>
      </c>
      <c r="H29" s="575" t="e">
        <f>D29-G29</f>
        <v>#REF!</v>
      </c>
      <c r="I29" s="67"/>
      <c r="J29" s="67"/>
      <c r="K29" s="67"/>
      <c r="L29" s="67"/>
      <c r="M29" s="67"/>
      <c r="N29" s="67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</row>
    <row r="30" spans="1:26" ht="12.75" customHeight="1" x14ac:dyDescent="0.25">
      <c r="A30" s="576" t="s">
        <v>778</v>
      </c>
      <c r="B30" s="67" t="s">
        <v>779</v>
      </c>
      <c r="C30" s="67"/>
      <c r="D30" s="573">
        <f>2637818</f>
        <v>2637818</v>
      </c>
      <c r="E30" s="67">
        <v>583784</v>
      </c>
      <c r="F30" s="67">
        <f>(628240/12*9)</f>
        <v>471180</v>
      </c>
      <c r="G30" s="573">
        <f>E30+F30</f>
        <v>1054964</v>
      </c>
      <c r="H30" s="575">
        <f>D30-G30+1088964</f>
        <v>2671818</v>
      </c>
      <c r="I30" s="67">
        <v>1088964</v>
      </c>
      <c r="J30" s="67" t="s">
        <v>780</v>
      </c>
      <c r="K30" s="67"/>
      <c r="L30" s="67"/>
      <c r="M30" s="67"/>
      <c r="N30" s="67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</row>
    <row r="31" spans="1:26" ht="12.75" customHeight="1" x14ac:dyDescent="0.25">
      <c r="A31" s="576" t="s">
        <v>781</v>
      </c>
      <c r="B31" s="67" t="s">
        <v>782</v>
      </c>
      <c r="C31" s="67"/>
      <c r="D31" s="573">
        <v>925175</v>
      </c>
      <c r="E31" s="67">
        <v>57329.52</v>
      </c>
      <c r="F31" s="67">
        <f>77098.32/12*9</f>
        <v>57823.740000000005</v>
      </c>
      <c r="G31" s="573">
        <f>E31+F31</f>
        <v>115153.26000000001</v>
      </c>
      <c r="H31" s="575">
        <f>D31-G31</f>
        <v>810021.74</v>
      </c>
      <c r="I31" s="67"/>
      <c r="J31" s="67"/>
      <c r="K31" s="67"/>
      <c r="L31" s="67"/>
      <c r="M31" s="67"/>
      <c r="N31" s="67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</row>
    <row r="32" spans="1:26" ht="12.75" customHeight="1" x14ac:dyDescent="0.25">
      <c r="A32" s="576" t="s">
        <v>783</v>
      </c>
      <c r="B32" s="67" t="s">
        <v>784</v>
      </c>
      <c r="C32" s="67"/>
      <c r="D32" s="573">
        <v>1214649</v>
      </c>
      <c r="E32" s="67">
        <v>506104.25</v>
      </c>
      <c r="F32" s="67">
        <f>242930.04/12*9</f>
        <v>182197.53000000003</v>
      </c>
      <c r="G32" s="573">
        <f>E32+F32</f>
        <v>688301.78</v>
      </c>
      <c r="H32" s="575">
        <f>D32-G32</f>
        <v>526347.22</v>
      </c>
      <c r="I32" s="67"/>
      <c r="J32" s="67"/>
      <c r="K32" s="67"/>
      <c r="L32" s="67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</row>
    <row r="33" spans="1:26" ht="12.75" customHeight="1" x14ac:dyDescent="0.25">
      <c r="A33" s="67"/>
      <c r="B33" s="67" t="s">
        <v>785</v>
      </c>
      <c r="C33" s="67"/>
      <c r="D33" s="573">
        <v>439341</v>
      </c>
      <c r="E33" s="67">
        <f>230553.76-57300</f>
        <v>173253.76000000001</v>
      </c>
      <c r="F33" s="67">
        <f>(102601.76/12*9)-64000</f>
        <v>12951.319999999992</v>
      </c>
      <c r="G33" s="573">
        <f>E33+F33</f>
        <v>186205.08000000002</v>
      </c>
      <c r="H33" s="575">
        <f>D33-G33</f>
        <v>253135.91999999998</v>
      </c>
      <c r="I33" s="67"/>
      <c r="J33" s="67"/>
      <c r="K33" s="67"/>
      <c r="L33" s="67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</row>
    <row r="34" spans="1:26" ht="12.75" customHeight="1" x14ac:dyDescent="0.25">
      <c r="A34" s="67"/>
      <c r="B34" s="67" t="s">
        <v>786</v>
      </c>
      <c r="C34" s="67"/>
      <c r="D34" s="573">
        <v>56198</v>
      </c>
      <c r="E34" s="67"/>
      <c r="F34" s="67"/>
      <c r="G34" s="573" t="e">
        <f>E34+F34+#REF!</f>
        <v>#REF!</v>
      </c>
      <c r="H34" s="575" t="e">
        <f>D34-G34</f>
        <v>#REF!</v>
      </c>
      <c r="I34" s="67"/>
      <c r="J34" s="67"/>
      <c r="K34" s="67"/>
      <c r="L34" s="67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</row>
    <row r="35" spans="1:26" ht="12.75" customHeight="1" x14ac:dyDescent="0.25">
      <c r="A35" s="67"/>
      <c r="B35" s="67"/>
      <c r="C35" s="67"/>
      <c r="D35" s="67"/>
      <c r="E35" s="67"/>
      <c r="F35" s="67"/>
      <c r="G35" s="573"/>
      <c r="H35" s="575">
        <f>D35-G35</f>
        <v>0</v>
      </c>
      <c r="I35" s="67"/>
      <c r="J35" s="67"/>
      <c r="K35" s="67"/>
      <c r="L35" s="67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</row>
    <row r="36" spans="1:26" ht="12.75" customHeight="1" x14ac:dyDescent="0.2">
      <c r="A36" s="65"/>
      <c r="B36" s="65"/>
      <c r="C36" s="65"/>
      <c r="D36" s="65"/>
      <c r="E36" s="65"/>
      <c r="F36" s="65"/>
      <c r="G36" s="65"/>
      <c r="H36" s="564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</row>
    <row r="37" spans="1:26" ht="12.75" customHeight="1" x14ac:dyDescent="0.2">
      <c r="A37" s="65"/>
      <c r="B37" s="65"/>
      <c r="C37" s="65"/>
      <c r="D37" s="65"/>
      <c r="E37" s="65"/>
      <c r="F37" s="65"/>
      <c r="G37" s="65"/>
      <c r="H37" s="564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</row>
    <row r="38" spans="1:26" ht="12.75" customHeight="1" x14ac:dyDescent="0.2">
      <c r="A38" s="65"/>
      <c r="B38" s="65"/>
      <c r="C38" s="65"/>
      <c r="D38" s="577">
        <f>SUM(D29:D36)</f>
        <v>5485436.5600000005</v>
      </c>
      <c r="E38" s="578">
        <f>SUM(E29:E36)</f>
        <v>1357114.53</v>
      </c>
      <c r="F38" s="65">
        <f>SUM(F29:F36)</f>
        <v>740071.79</v>
      </c>
      <c r="G38" s="577" t="e">
        <f>SUM(G29:G36)</f>
        <v>#REF!</v>
      </c>
      <c r="H38" s="579" t="e">
        <f>SUM(H29:H36)</f>
        <v>#REF!</v>
      </c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</row>
    <row r="39" spans="1:26" ht="12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5">
    <mergeCell ref="A2:F2"/>
    <mergeCell ref="B3:E3"/>
    <mergeCell ref="A4:F4"/>
    <mergeCell ref="A17:B17"/>
    <mergeCell ref="A24:F24"/>
  </mergeCells>
  <printOptions horizontalCentered="1"/>
  <pageMargins left="0.75" right="0.75" top="0.63472222222222197" bottom="0.25" header="0.51180555555555496" footer="0.51180555555555496"/>
  <pageSetup paperSize="9" scale="59" firstPageNumber="0" pageOrder="overThenDown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  <pageSetUpPr fitToPage="1"/>
  </sheetPr>
  <dimension ref="A1:K998"/>
  <sheetViews>
    <sheetView view="pageBreakPreview" zoomScaleNormal="100" workbookViewId="0">
      <pane ySplit="5" topLeftCell="A6" activePane="bottomLeft" state="frozen"/>
      <selection pane="bottomLeft" activeCell="E19" sqref="E19"/>
    </sheetView>
  </sheetViews>
  <sheetFormatPr defaultRowHeight="12.75" x14ac:dyDescent="0.2"/>
  <cols>
    <col min="1" max="1" width="43.42578125" customWidth="1"/>
    <col min="2" max="2" width="16.42578125" customWidth="1"/>
    <col min="3" max="3" width="16.85546875" customWidth="1"/>
    <col min="4" max="4" width="16.42578125" customWidth="1"/>
    <col min="5" max="5" width="19.5703125" customWidth="1"/>
    <col min="6" max="6" width="24" customWidth="1"/>
    <col min="7" max="11" width="14" customWidth="1"/>
    <col min="12" max="25" width="8.140625" customWidth="1"/>
    <col min="26" max="1025" width="12.140625" customWidth="1"/>
  </cols>
  <sheetData>
    <row r="1" spans="1:9" ht="58.5" customHeight="1" x14ac:dyDescent="0.25">
      <c r="A1" s="65"/>
      <c r="B1" s="65"/>
      <c r="C1" s="65"/>
      <c r="D1" s="580"/>
      <c r="E1" s="580"/>
      <c r="F1" s="581" t="s">
        <v>787</v>
      </c>
    </row>
    <row r="2" spans="1:9" ht="18.75" x14ac:dyDescent="0.3">
      <c r="A2" s="582"/>
      <c r="B2" s="582"/>
      <c r="C2" s="582"/>
      <c r="D2" s="582"/>
      <c r="E2" s="582"/>
      <c r="F2" s="582"/>
    </row>
    <row r="3" spans="1:9" ht="18.75" x14ac:dyDescent="0.3">
      <c r="A3" s="987" t="s">
        <v>872</v>
      </c>
      <c r="B3" s="987"/>
      <c r="C3" s="987"/>
      <c r="D3" s="987"/>
      <c r="E3" s="987"/>
      <c r="F3" s="987"/>
    </row>
    <row r="4" spans="1:9" x14ac:dyDescent="0.2">
      <c r="A4" s="65"/>
      <c r="B4" s="65"/>
      <c r="C4" s="65"/>
      <c r="D4" s="65"/>
      <c r="E4" s="65"/>
      <c r="F4" s="549" t="s">
        <v>733</v>
      </c>
    </row>
    <row r="5" spans="1:9" ht="18.75" customHeight="1" x14ac:dyDescent="0.3">
      <c r="A5" s="988" t="s">
        <v>788</v>
      </c>
      <c r="B5" s="989" t="s">
        <v>789</v>
      </c>
      <c r="C5" s="989"/>
      <c r="D5" s="989"/>
      <c r="E5" s="989"/>
      <c r="F5" s="989"/>
    </row>
    <row r="6" spans="1:9" ht="18.75" x14ac:dyDescent="0.3">
      <c r="A6" s="988"/>
      <c r="B6" s="583">
        <v>2021</v>
      </c>
      <c r="C6" s="583">
        <v>2022</v>
      </c>
      <c r="D6" s="584">
        <v>2023</v>
      </c>
      <c r="E6" s="584">
        <v>2024</v>
      </c>
      <c r="F6" s="584">
        <v>2025</v>
      </c>
    </row>
    <row r="7" spans="1:9" ht="18.75" x14ac:dyDescent="0.3">
      <c r="A7" s="585" t="s">
        <v>790</v>
      </c>
      <c r="B7" s="586">
        <v>9903.1</v>
      </c>
      <c r="C7" s="586">
        <v>9903.1</v>
      </c>
      <c r="D7" s="586">
        <v>18243.599999999999</v>
      </c>
      <c r="E7" s="586">
        <v>6641.9</v>
      </c>
      <c r="F7" s="586">
        <v>2881.4</v>
      </c>
    </row>
    <row r="8" spans="1:9" ht="18.75" x14ac:dyDescent="0.3">
      <c r="A8" s="585" t="s">
        <v>791</v>
      </c>
      <c r="B8" s="586">
        <v>9624.2999999999993</v>
      </c>
      <c r="C8" s="586">
        <v>9624.2999999999993</v>
      </c>
      <c r="D8" s="586">
        <v>17165.2</v>
      </c>
      <c r="E8" s="586">
        <v>6934.5</v>
      </c>
      <c r="F8" s="586">
        <v>3340.1</v>
      </c>
    </row>
    <row r="9" spans="1:9" ht="18.75" x14ac:dyDescent="0.3">
      <c r="A9" s="585" t="s">
        <v>792</v>
      </c>
      <c r="B9" s="586">
        <f>(B7-B8)</f>
        <v>278.80000000000109</v>
      </c>
      <c r="C9" s="586">
        <f>(C7-C8)</f>
        <v>278.80000000000109</v>
      </c>
      <c r="D9" s="586">
        <f>(D7-D8)</f>
        <v>1078.3999999999978</v>
      </c>
      <c r="E9" s="586">
        <v>-292.7</v>
      </c>
      <c r="F9" s="586">
        <v>-401.7</v>
      </c>
    </row>
    <row r="10" spans="1:9" ht="18.75" x14ac:dyDescent="0.3">
      <c r="A10" s="585" t="s">
        <v>793</v>
      </c>
      <c r="B10" s="586">
        <v>139.4</v>
      </c>
      <c r="C10" s="586">
        <v>139.4</v>
      </c>
      <c r="D10" s="586">
        <f>D9/2</f>
        <v>539.19999999999891</v>
      </c>
      <c r="E10" s="586">
        <v>-237.7</v>
      </c>
      <c r="F10" s="586"/>
    </row>
    <row r="11" spans="1:9" ht="37.5" x14ac:dyDescent="0.3">
      <c r="A11" s="585" t="s">
        <v>794</v>
      </c>
      <c r="B11" s="587">
        <v>-599.79999999999995</v>
      </c>
      <c r="C11" s="587">
        <v>-594.20000000000005</v>
      </c>
      <c r="D11" s="587">
        <v>-55</v>
      </c>
      <c r="E11" s="587">
        <f>E10+D11</f>
        <v>-292.7</v>
      </c>
      <c r="F11" s="587">
        <v>-401.7</v>
      </c>
      <c r="I11" s="322"/>
    </row>
    <row r="12" spans="1:9" ht="37.5" x14ac:dyDescent="0.3">
      <c r="A12" s="585" t="s">
        <v>795</v>
      </c>
      <c r="B12" s="583">
        <v>2500</v>
      </c>
      <c r="C12" s="583">
        <v>3923</v>
      </c>
      <c r="D12" s="583">
        <v>6416.8</v>
      </c>
      <c r="E12" s="675">
        <v>905.5</v>
      </c>
      <c r="F12" s="675">
        <v>175.3</v>
      </c>
      <c r="I12" s="322"/>
    </row>
    <row r="13" spans="1:9" ht="37.5" x14ac:dyDescent="0.3">
      <c r="A13" s="585" t="s">
        <v>796</v>
      </c>
      <c r="B13" s="583">
        <v>1400</v>
      </c>
      <c r="C13" s="583">
        <v>3730.8</v>
      </c>
      <c r="D13" s="586">
        <v>4213.8</v>
      </c>
      <c r="E13" s="675">
        <v>563.1</v>
      </c>
      <c r="F13" s="675">
        <v>379.3</v>
      </c>
      <c r="I13" s="322"/>
    </row>
    <row r="14" spans="1:9" ht="37.5" x14ac:dyDescent="0.3">
      <c r="A14" s="585" t="s">
        <v>797</v>
      </c>
      <c r="B14" s="583">
        <v>20.5</v>
      </c>
      <c r="C14" s="583">
        <v>38.25</v>
      </c>
      <c r="D14" s="583">
        <v>31.1</v>
      </c>
      <c r="E14" s="583">
        <v>30.1</v>
      </c>
      <c r="F14" s="583">
        <v>28</v>
      </c>
    </row>
    <row r="15" spans="1:9" ht="18.75" x14ac:dyDescent="0.3">
      <c r="A15" s="990" t="s">
        <v>798</v>
      </c>
      <c r="B15" s="990"/>
      <c r="C15" s="990"/>
      <c r="D15" s="990"/>
      <c r="E15" s="990"/>
      <c r="F15" s="990"/>
    </row>
    <row r="16" spans="1:9" x14ac:dyDescent="0.2">
      <c r="A16" s="65"/>
      <c r="B16" s="65"/>
      <c r="C16" s="65"/>
      <c r="D16" s="65"/>
      <c r="E16" s="65"/>
      <c r="F16" s="65"/>
    </row>
    <row r="17" spans="1:11" ht="18.75" x14ac:dyDescent="0.3">
      <c r="A17" s="64" t="s">
        <v>85</v>
      </c>
      <c r="B17" s="320"/>
      <c r="C17" s="321"/>
      <c r="D17" s="321"/>
      <c r="E17" s="321"/>
      <c r="F17" s="320" t="s">
        <v>86</v>
      </c>
      <c r="G17" s="320"/>
      <c r="H17" s="320"/>
      <c r="I17" s="67"/>
      <c r="J17" s="67"/>
      <c r="K17" s="548"/>
    </row>
    <row r="19" spans="1:11" ht="15.75" customHeight="1" x14ac:dyDescent="0.2"/>
    <row r="20" spans="1:11" ht="15" customHeight="1" x14ac:dyDescent="0.2"/>
    <row r="21" spans="1:11" ht="15.75" customHeight="1" x14ac:dyDescent="0.2"/>
    <row r="22" spans="1:11" ht="15.75" customHeight="1" x14ac:dyDescent="0.2"/>
    <row r="23" spans="1:11" ht="15.75" customHeight="1" x14ac:dyDescent="0.2"/>
    <row r="24" spans="1:11" ht="15.75" customHeight="1" x14ac:dyDescent="0.2"/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4">
    <mergeCell ref="A3:F3"/>
    <mergeCell ref="A5:A6"/>
    <mergeCell ref="B5:F5"/>
    <mergeCell ref="A15:F15"/>
  </mergeCells>
  <printOptions horizontalCentered="1"/>
  <pageMargins left="0.7" right="0.7" top="0.75" bottom="0.44027777777777799" header="0.51180555555555496" footer="0.51180555555555496"/>
  <pageSetup paperSize="9" scale="98" firstPageNumber="0" fitToHeight="0" pageOrder="overThenDown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FF00"/>
    <pageSetUpPr fitToPage="1"/>
  </sheetPr>
  <dimension ref="A1:J760"/>
  <sheetViews>
    <sheetView view="pageBreakPreview" zoomScaleNormal="111" workbookViewId="0">
      <selection activeCell="G28" sqref="G28"/>
    </sheetView>
  </sheetViews>
  <sheetFormatPr defaultRowHeight="12.75" x14ac:dyDescent="0.2"/>
  <cols>
    <col min="1" max="1" width="10.140625" customWidth="1"/>
    <col min="2" max="2" width="45" customWidth="1"/>
    <col min="3" max="3" width="14.7109375" customWidth="1"/>
    <col min="4" max="4" width="12.85546875" customWidth="1"/>
    <col min="5" max="5" width="15.42578125" customWidth="1"/>
    <col min="6" max="6" width="12.7109375" customWidth="1"/>
    <col min="7" max="7" width="17" customWidth="1"/>
    <col min="8" max="8" width="2.140625" customWidth="1"/>
    <col min="9" max="9" width="10.7109375" customWidth="1"/>
    <col min="10" max="10" width="14.85546875" customWidth="1"/>
    <col min="11" max="11" width="7.5703125" customWidth="1"/>
    <col min="12" max="12" width="5.5703125" customWidth="1"/>
    <col min="13" max="13" width="9.42578125" customWidth="1"/>
    <col min="14" max="14" width="10" customWidth="1"/>
    <col min="15" max="15" width="10.7109375" customWidth="1"/>
    <col min="16" max="25" width="17" customWidth="1"/>
    <col min="26" max="26" width="8.140625" customWidth="1"/>
    <col min="27" max="1025" width="12.140625" customWidth="1"/>
  </cols>
  <sheetData>
    <row r="1" spans="1:10" ht="15.75" customHeight="1" x14ac:dyDescent="0.3">
      <c r="A1" s="589"/>
      <c r="B1" s="589"/>
      <c r="C1" s="589"/>
      <c r="D1" s="589"/>
      <c r="E1" s="592"/>
      <c r="F1" s="589"/>
      <c r="G1" s="589"/>
      <c r="H1" s="589"/>
    </row>
    <row r="2" spans="1:10" ht="15.75" customHeight="1" x14ac:dyDescent="0.3">
      <c r="A2" s="589"/>
      <c r="B2" s="589"/>
      <c r="C2" s="589"/>
      <c r="D2" s="589"/>
      <c r="E2" s="592"/>
      <c r="F2" s="589"/>
      <c r="G2" s="589"/>
      <c r="H2" s="589"/>
    </row>
    <row r="4" spans="1:10" ht="22.5" customHeight="1" x14ac:dyDescent="0.3">
      <c r="A4" s="589" t="s">
        <v>799</v>
      </c>
      <c r="B4" s="589"/>
      <c r="C4" s="589"/>
      <c r="D4" s="589"/>
      <c r="E4" s="589" t="s">
        <v>800</v>
      </c>
      <c r="F4" s="589"/>
      <c r="G4" s="589"/>
    </row>
    <row r="5" spans="1:10" ht="47.45" customHeight="1" x14ac:dyDescent="0.3">
      <c r="A5" s="996" t="s">
        <v>801</v>
      </c>
      <c r="B5" s="996"/>
      <c r="C5" s="589"/>
      <c r="D5" s="589"/>
      <c r="E5" s="991" t="s">
        <v>802</v>
      </c>
      <c r="F5" s="991"/>
      <c r="G5" s="991"/>
    </row>
    <row r="6" spans="1:10" ht="15.75" customHeight="1" x14ac:dyDescent="0.3">
      <c r="A6" s="589"/>
      <c r="B6" s="589"/>
      <c r="C6" s="589"/>
      <c r="D6" s="589"/>
      <c r="E6" s="589"/>
      <c r="F6" s="589"/>
      <c r="G6" s="589"/>
    </row>
    <row r="7" spans="1:10" ht="15.75" customHeight="1" x14ac:dyDescent="0.3">
      <c r="A7" s="589" t="s">
        <v>803</v>
      </c>
      <c r="B7" s="589"/>
      <c r="C7" s="589"/>
      <c r="D7" s="589"/>
      <c r="E7" s="589" t="s">
        <v>804</v>
      </c>
      <c r="F7" s="589"/>
      <c r="G7" s="591"/>
    </row>
    <row r="8" spans="1:10" ht="15.75" customHeight="1" x14ac:dyDescent="0.3">
      <c r="A8" s="589"/>
      <c r="B8" s="589"/>
      <c r="C8" s="589"/>
      <c r="D8" s="589"/>
      <c r="E8" s="589"/>
      <c r="F8" s="589"/>
      <c r="G8" s="590"/>
    </row>
    <row r="9" spans="1:10" ht="15.75" customHeight="1" x14ac:dyDescent="0.3">
      <c r="A9" s="770" t="s">
        <v>879</v>
      </c>
      <c r="B9" s="589"/>
      <c r="C9" s="589"/>
      <c r="D9" s="589"/>
      <c r="E9" s="770" t="s">
        <v>880</v>
      </c>
      <c r="F9" s="589"/>
      <c r="G9" s="589"/>
    </row>
    <row r="10" spans="1:10" ht="15.75" customHeight="1" x14ac:dyDescent="0.3">
      <c r="A10" s="589"/>
      <c r="B10" s="589"/>
      <c r="C10" s="589"/>
      <c r="D10" s="589"/>
      <c r="E10" s="592"/>
      <c r="F10" s="589"/>
      <c r="G10" s="589"/>
    </row>
    <row r="11" spans="1:10" ht="48" customHeight="1" x14ac:dyDescent="0.3">
      <c r="A11" s="589"/>
      <c r="B11" s="618"/>
      <c r="C11" s="619"/>
      <c r="D11" s="619" t="s">
        <v>805</v>
      </c>
      <c r="E11" s="619"/>
      <c r="F11" s="618"/>
      <c r="G11" s="618"/>
    </row>
    <row r="12" spans="1:10" ht="20.25" customHeight="1" x14ac:dyDescent="0.3">
      <c r="A12" s="589"/>
      <c r="B12" s="618"/>
      <c r="C12" s="619"/>
      <c r="D12" s="619" t="s">
        <v>806</v>
      </c>
      <c r="E12" s="619"/>
      <c r="F12" s="618"/>
      <c r="G12" s="618"/>
    </row>
    <row r="13" spans="1:10" ht="20.25" customHeight="1" x14ac:dyDescent="0.3">
      <c r="A13" s="589"/>
      <c r="B13" s="618"/>
      <c r="C13" s="992" t="s">
        <v>881</v>
      </c>
      <c r="D13" s="992"/>
      <c r="E13" s="992"/>
      <c r="F13" s="993"/>
      <c r="G13" s="993"/>
      <c r="H13" s="993"/>
      <c r="I13" s="618"/>
      <c r="J13" s="618"/>
    </row>
    <row r="14" spans="1:10" ht="20.25" customHeight="1" x14ac:dyDescent="0.3">
      <c r="A14" s="589"/>
      <c r="B14" s="618"/>
      <c r="C14" s="619"/>
      <c r="D14" s="619"/>
      <c r="E14" s="619"/>
      <c r="F14" s="618"/>
      <c r="G14" s="618"/>
    </row>
    <row r="15" spans="1:10" ht="18" customHeight="1" x14ac:dyDescent="0.3">
      <c r="A15" s="589"/>
      <c r="B15" s="589"/>
      <c r="C15" s="589"/>
      <c r="D15" s="593"/>
      <c r="E15" s="593"/>
      <c r="F15" s="589"/>
      <c r="G15" s="589"/>
    </row>
    <row r="16" spans="1:10" ht="36.75" customHeight="1" x14ac:dyDescent="0.3">
      <c r="A16" s="594">
        <v>1</v>
      </c>
      <c r="B16" s="595">
        <v>2</v>
      </c>
      <c r="C16" s="594">
        <v>3</v>
      </c>
      <c r="D16" s="594">
        <v>4</v>
      </c>
      <c r="E16" s="594">
        <v>5</v>
      </c>
      <c r="F16" s="594">
        <v>6</v>
      </c>
      <c r="G16" s="594">
        <v>7</v>
      </c>
    </row>
    <row r="17" spans="1:10" ht="82.5" customHeight="1" x14ac:dyDescent="0.2">
      <c r="A17" s="596" t="s">
        <v>676</v>
      </c>
      <c r="B17" s="597" t="s">
        <v>807</v>
      </c>
      <c r="C17" s="598" t="s">
        <v>808</v>
      </c>
      <c r="D17" s="598" t="s">
        <v>809</v>
      </c>
      <c r="E17" s="598" t="s">
        <v>810</v>
      </c>
      <c r="F17" s="598" t="s">
        <v>811</v>
      </c>
      <c r="G17" s="598" t="s">
        <v>812</v>
      </c>
      <c r="I17" s="599">
        <v>3288</v>
      </c>
      <c r="J17" s="447"/>
    </row>
    <row r="18" spans="1:10" ht="23.85" customHeight="1" x14ac:dyDescent="0.2">
      <c r="A18" s="600">
        <v>1</v>
      </c>
      <c r="B18" s="601" t="s">
        <v>580</v>
      </c>
      <c r="C18" s="602" t="s">
        <v>581</v>
      </c>
      <c r="D18" s="603" t="s">
        <v>366</v>
      </c>
      <c r="E18" s="604" t="s">
        <v>366</v>
      </c>
      <c r="F18" s="605"/>
      <c r="G18" s="605" t="str">
        <f>E18</f>
        <v>-</v>
      </c>
      <c r="I18" s="588">
        <v>1.6</v>
      </c>
      <c r="J18" s="447"/>
    </row>
    <row r="19" spans="1:10" ht="42.75" customHeight="1" x14ac:dyDescent="0.2">
      <c r="A19" s="600">
        <v>2</v>
      </c>
      <c r="B19" s="416" t="s">
        <v>586</v>
      </c>
      <c r="C19" s="622" t="s">
        <v>587</v>
      </c>
      <c r="D19" s="623">
        <v>1</v>
      </c>
      <c r="E19" s="624">
        <v>16667</v>
      </c>
      <c r="F19" s="625"/>
      <c r="G19" s="702">
        <f>E19</f>
        <v>16667</v>
      </c>
      <c r="I19" s="588"/>
      <c r="J19" s="447"/>
    </row>
    <row r="20" spans="1:10" ht="24.95" customHeight="1" x14ac:dyDescent="0.2">
      <c r="A20" s="608">
        <v>3</v>
      </c>
      <c r="B20" s="601" t="s">
        <v>615</v>
      </c>
      <c r="C20" s="606">
        <v>1231</v>
      </c>
      <c r="D20" s="603">
        <v>1</v>
      </c>
      <c r="E20" s="607">
        <v>21938</v>
      </c>
      <c r="F20" s="605"/>
      <c r="G20" s="614">
        <f>SUM(E20)*D20</f>
        <v>21938</v>
      </c>
      <c r="I20">
        <v>4.12</v>
      </c>
      <c r="J20" s="447"/>
    </row>
    <row r="21" spans="1:10" ht="26.25" customHeight="1" x14ac:dyDescent="0.2">
      <c r="A21" s="608">
        <f>1+A20</f>
        <v>4</v>
      </c>
      <c r="B21" s="609" t="s">
        <v>582</v>
      </c>
      <c r="C21" s="610" t="s">
        <v>583</v>
      </c>
      <c r="D21" s="603">
        <v>1</v>
      </c>
      <c r="E21" s="607">
        <v>15442</v>
      </c>
      <c r="F21" s="605"/>
      <c r="G21" s="614">
        <f>SUM(E21)*D21</f>
        <v>15442</v>
      </c>
      <c r="I21">
        <v>2.9</v>
      </c>
      <c r="J21" s="611"/>
    </row>
    <row r="22" spans="1:10" ht="30" hidden="1" customHeight="1" x14ac:dyDescent="0.2">
      <c r="A22" s="608">
        <f>1+A21</f>
        <v>5</v>
      </c>
      <c r="B22" s="601" t="s">
        <v>813</v>
      </c>
      <c r="C22" s="610" t="s">
        <v>814</v>
      </c>
      <c r="D22" s="615"/>
      <c r="E22" s="607">
        <v>11337</v>
      </c>
      <c r="F22" s="605"/>
      <c r="G22" s="605">
        <f>SUM(E22)*D22</f>
        <v>0</v>
      </c>
      <c r="J22" s="611"/>
    </row>
    <row r="23" spans="1:10" ht="27.6" hidden="1" customHeight="1" x14ac:dyDescent="0.2">
      <c r="A23" s="608">
        <f>1+A22</f>
        <v>6</v>
      </c>
      <c r="B23" s="601" t="s">
        <v>815</v>
      </c>
      <c r="C23" s="610" t="s">
        <v>816</v>
      </c>
      <c r="D23" s="620"/>
      <c r="E23" s="607">
        <v>11337</v>
      </c>
      <c r="F23" s="605"/>
      <c r="G23" s="605">
        <f>SUM(E23)*D23</f>
        <v>0</v>
      </c>
      <c r="J23" s="611"/>
    </row>
    <row r="24" spans="1:10" ht="24.95" hidden="1" customHeight="1" x14ac:dyDescent="0.2">
      <c r="A24" s="608">
        <f>1+A23</f>
        <v>7</v>
      </c>
      <c r="B24" s="601" t="s">
        <v>817</v>
      </c>
      <c r="C24" s="610" t="s">
        <v>818</v>
      </c>
      <c r="D24" s="620"/>
      <c r="E24" s="607">
        <v>11337</v>
      </c>
      <c r="F24" s="605"/>
      <c r="G24" s="605">
        <f>SUM(E24)*D24</f>
        <v>0</v>
      </c>
      <c r="J24" s="611"/>
    </row>
    <row r="25" spans="1:10" ht="22.5" hidden="1" customHeight="1" x14ac:dyDescent="0.2">
      <c r="A25" s="608">
        <v>4</v>
      </c>
      <c r="B25" s="621" t="s">
        <v>823</v>
      </c>
      <c r="C25" s="600">
        <v>9132</v>
      </c>
      <c r="D25" s="620"/>
      <c r="E25" s="614">
        <v>7509</v>
      </c>
      <c r="F25" s="605">
        <v>491</v>
      </c>
      <c r="G25" s="605">
        <f>SUM(E25+F25)*D25</f>
        <v>0</v>
      </c>
      <c r="J25" s="611"/>
    </row>
    <row r="26" spans="1:10" ht="91.5" customHeight="1" x14ac:dyDescent="0.2">
      <c r="A26" s="608">
        <v>6</v>
      </c>
      <c r="B26" s="601" t="s">
        <v>819</v>
      </c>
      <c r="C26" s="610" t="s">
        <v>585</v>
      </c>
      <c r="D26" s="603">
        <v>1</v>
      </c>
      <c r="E26" s="607">
        <v>12460</v>
      </c>
      <c r="F26" s="605"/>
      <c r="G26" s="614">
        <f>SUM(E26)*D26</f>
        <v>12460</v>
      </c>
      <c r="I26" s="612">
        <v>2.34</v>
      </c>
      <c r="J26" s="612"/>
    </row>
    <row r="27" spans="1:10" ht="60" customHeight="1" x14ac:dyDescent="0.2">
      <c r="A27" s="608">
        <v>7</v>
      </c>
      <c r="B27" s="601" t="s">
        <v>820</v>
      </c>
      <c r="C27" s="613" t="s">
        <v>821</v>
      </c>
      <c r="D27" s="603">
        <v>2</v>
      </c>
      <c r="E27" s="614">
        <v>12726</v>
      </c>
      <c r="F27" s="605"/>
      <c r="G27" s="614">
        <f>SUM(E27)*D27</f>
        <v>25452</v>
      </c>
      <c r="I27" s="612">
        <v>2.39</v>
      </c>
      <c r="J27" s="612"/>
    </row>
    <row r="28" spans="1:10" ht="63.75" customHeight="1" x14ac:dyDescent="0.2">
      <c r="A28" s="608">
        <v>8</v>
      </c>
      <c r="B28" s="601" t="s">
        <v>822</v>
      </c>
      <c r="C28" s="613" t="s">
        <v>821</v>
      </c>
      <c r="D28" s="603">
        <v>22</v>
      </c>
      <c r="E28" s="614">
        <v>12726</v>
      </c>
      <c r="F28" s="605"/>
      <c r="G28" s="614">
        <f>SUM(E28)*D28</f>
        <v>279972</v>
      </c>
      <c r="I28" s="612">
        <v>2.39</v>
      </c>
      <c r="J28" s="612"/>
    </row>
    <row r="29" spans="1:10" ht="36.200000000000003" customHeight="1" x14ac:dyDescent="0.2">
      <c r="A29" s="994" t="s">
        <v>824</v>
      </c>
      <c r="B29" s="994"/>
      <c r="C29" s="608" t="s">
        <v>658</v>
      </c>
      <c r="D29" s="615">
        <f>SUM(D18:D28)</f>
        <v>28</v>
      </c>
      <c r="E29" s="604"/>
      <c r="F29" s="604"/>
      <c r="G29" s="607">
        <f>G19+G20+G21+G26+G27+G28</f>
        <v>371931</v>
      </c>
      <c r="I29" s="612"/>
    </row>
    <row r="30" spans="1:10" ht="15.75" customHeight="1" x14ac:dyDescent="0.3">
      <c r="A30" s="616"/>
      <c r="B30" s="592"/>
      <c r="C30" s="995"/>
      <c r="D30" s="995"/>
      <c r="E30" s="617"/>
      <c r="F30" s="617"/>
      <c r="G30" s="616"/>
    </row>
    <row r="31" spans="1:10" ht="15.75" customHeight="1" x14ac:dyDescent="0.3">
      <c r="A31" s="589"/>
      <c r="B31" s="589"/>
      <c r="C31" s="589"/>
      <c r="D31" s="589"/>
      <c r="E31" s="592"/>
      <c r="F31" s="589"/>
      <c r="G31" s="589"/>
    </row>
    <row r="32" spans="1:10" ht="15.75" customHeight="1" x14ac:dyDescent="0.3">
      <c r="A32" s="589"/>
      <c r="B32" s="589"/>
      <c r="C32" s="589"/>
      <c r="D32" s="589"/>
      <c r="E32" s="592"/>
      <c r="F32" s="589"/>
      <c r="G32" s="589"/>
    </row>
    <row r="34" spans="2:5" ht="15.75" customHeight="1" x14ac:dyDescent="0.2">
      <c r="B34" t="s">
        <v>825</v>
      </c>
      <c r="E34" t="s">
        <v>826</v>
      </c>
    </row>
    <row r="35" spans="2:5" ht="15.75" customHeight="1" x14ac:dyDescent="0.2"/>
    <row r="36" spans="2:5" ht="15.75" customHeight="1" x14ac:dyDescent="0.2"/>
    <row r="37" spans="2:5" ht="15.75" customHeight="1" x14ac:dyDescent="0.2"/>
    <row r="38" spans="2:5" ht="15.75" customHeight="1" x14ac:dyDescent="0.2"/>
    <row r="39" spans="2:5" ht="15.75" customHeight="1" x14ac:dyDescent="0.2"/>
    <row r="40" spans="2:5" ht="15.75" customHeight="1" x14ac:dyDescent="0.2"/>
    <row r="41" spans="2:5" ht="15.75" customHeight="1" x14ac:dyDescent="0.2"/>
    <row r="42" spans="2:5" ht="15.75" customHeight="1" x14ac:dyDescent="0.2"/>
    <row r="43" spans="2:5" ht="15.75" customHeight="1" x14ac:dyDescent="0.2"/>
    <row r="44" spans="2:5" ht="15.75" customHeight="1" x14ac:dyDescent="0.2"/>
    <row r="45" spans="2:5" ht="15.75" customHeight="1" x14ac:dyDescent="0.2"/>
    <row r="46" spans="2:5" ht="15.75" customHeight="1" x14ac:dyDescent="0.2"/>
    <row r="47" spans="2:5" ht="15.75" customHeight="1" x14ac:dyDescent="0.2"/>
    <row r="48" spans="2:5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</sheetData>
  <mergeCells count="6">
    <mergeCell ref="E5:G5"/>
    <mergeCell ref="C13:E13"/>
    <mergeCell ref="F13:H13"/>
    <mergeCell ref="A29:B29"/>
    <mergeCell ref="C30:D30"/>
    <mergeCell ref="A5:B5"/>
  </mergeCells>
  <pageMargins left="0.70833333333333304" right="0.70833333333333304" top="0.74791666666666701" bottom="0.74791666666666701" header="0.51180555555555496" footer="0.51180555555555496"/>
  <pageSetup paperSize="9" scale="68"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D1C24"/>
    <pageSetUpPr fitToPage="1"/>
  </sheetPr>
  <dimension ref="A1:AMK954"/>
  <sheetViews>
    <sheetView view="pageBreakPreview" zoomScale="62" zoomScaleNormal="62" zoomScaleSheetLayoutView="62" zoomScalePageLayoutView="40" workbookViewId="0">
      <pane ySplit="3" topLeftCell="A123" activePane="bottomLeft" state="frozen"/>
      <selection pane="bottomLeft" activeCell="E131" sqref="E131"/>
    </sheetView>
  </sheetViews>
  <sheetFormatPr defaultRowHeight="19.5" x14ac:dyDescent="0.3"/>
  <cols>
    <col min="1" max="1" width="83.7109375" style="15" customWidth="1"/>
    <col min="2" max="2" width="25.140625" style="68" customWidth="1"/>
    <col min="3" max="3" width="28.28515625" style="69" customWidth="1"/>
    <col min="4" max="4" width="28.7109375" style="69" customWidth="1"/>
    <col min="5" max="5" width="26.7109375" style="69" customWidth="1"/>
    <col min="6" max="6" width="24.42578125" style="70" customWidth="1"/>
    <col min="7" max="7" width="24.42578125" style="69" customWidth="1"/>
    <col min="8" max="8" width="23.7109375" style="69" customWidth="1"/>
    <col min="9" max="9" width="25.28515625" style="69" customWidth="1"/>
    <col min="10" max="10" width="24.42578125" style="69" customWidth="1"/>
    <col min="11" max="11" width="0.7109375" style="71" customWidth="1"/>
    <col min="12" max="12" width="62.42578125" style="72" customWidth="1"/>
    <col min="13" max="13" width="38.5703125" style="72" customWidth="1"/>
    <col min="14" max="14" width="14.7109375" style="72" customWidth="1"/>
    <col min="15" max="15" width="14.42578125" style="72" customWidth="1"/>
    <col min="16" max="16" width="15" style="72" customWidth="1"/>
    <col min="17" max="17" width="16.7109375" style="72" customWidth="1"/>
    <col min="18" max="18" width="21.42578125" style="72" customWidth="1"/>
    <col min="19" max="20" width="10.85546875" style="72" customWidth="1"/>
    <col min="21" max="22" width="8.85546875" style="72" customWidth="1"/>
    <col min="23" max="23" width="32.85546875" style="72" customWidth="1"/>
    <col min="24" max="25" width="14" style="72" customWidth="1"/>
    <col min="26" max="26" width="13.42578125" style="72" customWidth="1"/>
    <col min="27" max="28" width="15.7109375" style="72" customWidth="1"/>
    <col min="29" max="29" width="7.7109375" style="72" customWidth="1"/>
    <col min="30" max="1025" width="12.140625" style="72" customWidth="1"/>
  </cols>
  <sheetData>
    <row r="1" spans="1:29" ht="39.75" customHeight="1" x14ac:dyDescent="0.25">
      <c r="A1" s="801" t="s">
        <v>87</v>
      </c>
      <c r="B1" s="801"/>
      <c r="C1" s="801"/>
      <c r="D1" s="801"/>
      <c r="E1" s="801"/>
      <c r="F1" s="801"/>
      <c r="G1" s="801"/>
      <c r="H1" s="801"/>
      <c r="I1" s="801"/>
      <c r="J1" s="801"/>
      <c r="K1" s="73"/>
      <c r="L1" s="74"/>
      <c r="M1" s="74"/>
      <c r="N1" s="74"/>
      <c r="O1" s="74"/>
      <c r="P1" s="74"/>
      <c r="Q1" s="74"/>
      <c r="R1" s="75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</row>
    <row r="2" spans="1:29" ht="93.75" customHeight="1" x14ac:dyDescent="0.25">
      <c r="A2" s="802" t="s">
        <v>36</v>
      </c>
      <c r="B2" s="803" t="s">
        <v>37</v>
      </c>
      <c r="C2" s="802" t="s">
        <v>864</v>
      </c>
      <c r="D2" s="802" t="s">
        <v>39</v>
      </c>
      <c r="E2" s="804" t="s">
        <v>40</v>
      </c>
      <c r="F2" s="78" t="s">
        <v>88</v>
      </c>
      <c r="G2" s="805" t="s">
        <v>89</v>
      </c>
      <c r="H2" s="805"/>
      <c r="I2" s="805"/>
      <c r="J2" s="805"/>
      <c r="K2" s="808" t="s">
        <v>90</v>
      </c>
      <c r="L2" s="74"/>
      <c r="M2" s="74"/>
      <c r="N2" s="74"/>
      <c r="O2" s="74"/>
      <c r="P2" s="74"/>
      <c r="Q2" s="74"/>
      <c r="R2" s="75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</row>
    <row r="3" spans="1:29" ht="51.75" customHeight="1" x14ac:dyDescent="0.25">
      <c r="A3" s="802"/>
      <c r="B3" s="802"/>
      <c r="C3" s="802"/>
      <c r="D3" s="802"/>
      <c r="E3" s="802"/>
      <c r="F3" s="81"/>
      <c r="G3" s="79" t="s">
        <v>91</v>
      </c>
      <c r="H3" s="79" t="s">
        <v>92</v>
      </c>
      <c r="I3" s="79" t="s">
        <v>93</v>
      </c>
      <c r="J3" s="79" t="s">
        <v>94</v>
      </c>
      <c r="K3" s="808"/>
      <c r="L3" s="74"/>
      <c r="M3" s="74"/>
      <c r="N3" s="74"/>
      <c r="O3" s="74"/>
      <c r="P3" s="74"/>
      <c r="Q3" s="74"/>
      <c r="R3" s="75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</row>
    <row r="4" spans="1:29" ht="26.25" customHeight="1" x14ac:dyDescent="0.25">
      <c r="A4" s="76">
        <v>1</v>
      </c>
      <c r="B4" s="77" t="s">
        <v>95</v>
      </c>
      <c r="C4" s="76">
        <v>3</v>
      </c>
      <c r="D4" s="76">
        <v>4</v>
      </c>
      <c r="E4" s="82">
        <v>5</v>
      </c>
      <c r="F4" s="83">
        <v>6</v>
      </c>
      <c r="G4" s="82">
        <v>7</v>
      </c>
      <c r="H4" s="82">
        <v>8</v>
      </c>
      <c r="I4" s="82">
        <v>9</v>
      </c>
      <c r="J4" s="82">
        <v>10</v>
      </c>
      <c r="K4" s="80">
        <v>11</v>
      </c>
      <c r="L4" s="74"/>
      <c r="M4" s="74"/>
      <c r="N4" s="74"/>
      <c r="O4" s="74"/>
      <c r="P4" s="74"/>
      <c r="Q4" s="74"/>
      <c r="R4" s="75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</row>
    <row r="5" spans="1:29" ht="34.5" customHeight="1" x14ac:dyDescent="0.2">
      <c r="A5" s="84" t="s">
        <v>96</v>
      </c>
      <c r="B5" s="85"/>
      <c r="C5" s="86"/>
      <c r="D5" s="86"/>
      <c r="E5" s="86"/>
      <c r="F5" s="87"/>
      <c r="G5" s="86"/>
      <c r="H5" s="86"/>
      <c r="I5" s="86"/>
      <c r="J5" s="86"/>
      <c r="K5" s="88"/>
      <c r="L5" s="89"/>
      <c r="M5" s="89"/>
      <c r="N5" s="89"/>
      <c r="O5" s="89"/>
      <c r="P5" s="89"/>
      <c r="Q5" s="89"/>
      <c r="R5" s="90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</row>
    <row r="6" spans="1:29" ht="86.25" customHeight="1" x14ac:dyDescent="0.25">
      <c r="A6" s="91" t="s">
        <v>97</v>
      </c>
      <c r="B6" s="92" t="s">
        <v>98</v>
      </c>
      <c r="C6" s="93">
        <f>ROUND(SUM(C7:C14),1)</f>
        <v>2071.1</v>
      </c>
      <c r="D6" s="93">
        <f>ROUND(SUM(D7:D14),1)</f>
        <v>0</v>
      </c>
      <c r="E6" s="93">
        <f>ROUND(SUM(E8:E13),1)</f>
        <v>0</v>
      </c>
      <c r="F6" s="94">
        <f>SUM(F8:F13)</f>
        <v>0</v>
      </c>
      <c r="G6" s="93">
        <f>ROUND(SUM(G8:G13),1)</f>
        <v>0</v>
      </c>
      <c r="H6" s="93">
        <f>ROUND(SUM(H8:H13),1)</f>
        <v>0</v>
      </c>
      <c r="I6" s="93">
        <f>ROUND(SUM(I8:I13),1)</f>
        <v>0</v>
      </c>
      <c r="J6" s="93">
        <f>ROUND(SUM(J8:J13),1)</f>
        <v>0</v>
      </c>
      <c r="K6" s="95"/>
      <c r="L6" s="96"/>
      <c r="M6" s="96"/>
      <c r="N6" s="89"/>
      <c r="O6" s="6"/>
      <c r="P6" s="6"/>
      <c r="Q6" s="6"/>
      <c r="R6" s="97"/>
      <c r="S6" s="13"/>
      <c r="T6" s="13"/>
      <c r="U6" s="13"/>
      <c r="V6" s="98"/>
      <c r="W6" s="99" t="s">
        <v>99</v>
      </c>
      <c r="X6" s="100" t="s">
        <v>100</v>
      </c>
      <c r="Y6" s="100" t="s">
        <v>101</v>
      </c>
      <c r="Z6" s="100" t="s">
        <v>102</v>
      </c>
      <c r="AA6" s="100" t="s">
        <v>103</v>
      </c>
      <c r="AB6" s="100" t="s">
        <v>104</v>
      </c>
      <c r="AC6" s="89"/>
    </row>
    <row r="7" spans="1:29" ht="83.25" customHeight="1" x14ac:dyDescent="0.25">
      <c r="A7" s="101" t="s">
        <v>105</v>
      </c>
      <c r="B7" s="77" t="s">
        <v>106</v>
      </c>
      <c r="C7" s="724">
        <v>0</v>
      </c>
      <c r="D7" s="102">
        <v>0</v>
      </c>
      <c r="E7" s="102">
        <v>0</v>
      </c>
      <c r="F7" s="81">
        <f>SUM(G7:J7)</f>
        <v>0</v>
      </c>
      <c r="G7" s="102">
        <v>0</v>
      </c>
      <c r="H7" s="102">
        <v>0</v>
      </c>
      <c r="I7" s="102">
        <v>0</v>
      </c>
      <c r="J7" s="102">
        <v>0</v>
      </c>
      <c r="K7" s="103"/>
      <c r="L7" s="96"/>
      <c r="M7" s="96"/>
      <c r="N7" s="89"/>
      <c r="O7" s="6"/>
      <c r="P7" s="6"/>
      <c r="Q7" s="6"/>
      <c r="R7" s="97"/>
      <c r="S7" s="13"/>
      <c r="T7" s="13"/>
      <c r="U7" s="13"/>
      <c r="V7" s="98"/>
      <c r="W7" s="99"/>
      <c r="X7" s="100"/>
      <c r="Y7" s="100"/>
      <c r="Z7" s="100"/>
      <c r="AA7" s="100"/>
      <c r="AB7" s="100"/>
      <c r="AC7" s="89"/>
    </row>
    <row r="8" spans="1:29" ht="72.75" customHeight="1" x14ac:dyDescent="0.25">
      <c r="A8" s="101" t="s">
        <v>107</v>
      </c>
      <c r="B8" s="104" t="s">
        <v>108</v>
      </c>
      <c r="C8" s="731">
        <v>303.5</v>
      </c>
      <c r="D8" s="734">
        <v>0</v>
      </c>
      <c r="E8" s="734">
        <v>0</v>
      </c>
      <c r="F8" s="105">
        <f>SUM(G8:J8)</f>
        <v>0</v>
      </c>
      <c r="G8" s="749">
        <v>0</v>
      </c>
      <c r="H8" s="102">
        <v>0</v>
      </c>
      <c r="I8" s="102">
        <v>0</v>
      </c>
      <c r="J8" s="102">
        <v>0</v>
      </c>
      <c r="K8" s="106"/>
      <c r="L8" s="107"/>
      <c r="M8" s="108"/>
      <c r="N8" s="109"/>
      <c r="O8" s="110"/>
      <c r="P8" s="111"/>
      <c r="Q8" s="112"/>
      <c r="R8" s="113"/>
      <c r="S8" s="114"/>
      <c r="T8" s="114"/>
      <c r="U8" s="13"/>
      <c r="V8" s="98"/>
      <c r="W8" s="115"/>
      <c r="X8" s="116"/>
      <c r="Y8" s="116"/>
      <c r="Z8" s="116"/>
      <c r="AA8" s="116"/>
      <c r="AB8" s="116"/>
      <c r="AC8" s="74"/>
    </row>
    <row r="9" spans="1:29" ht="78" customHeight="1" x14ac:dyDescent="0.25">
      <c r="A9" s="101" t="s">
        <v>109</v>
      </c>
      <c r="B9" s="104" t="s">
        <v>110</v>
      </c>
      <c r="C9" s="732">
        <v>430</v>
      </c>
      <c r="D9" s="734">
        <v>0</v>
      </c>
      <c r="E9" s="734">
        <v>0</v>
      </c>
      <c r="F9" s="105">
        <f>SUM(G9:J9)</f>
        <v>0</v>
      </c>
      <c r="G9" s="739">
        <v>0</v>
      </c>
      <c r="H9" s="102">
        <v>0</v>
      </c>
      <c r="I9" s="102">
        <v>0</v>
      </c>
      <c r="J9" s="102">
        <v>0</v>
      </c>
      <c r="K9" s="117"/>
      <c r="L9" s="118"/>
      <c r="M9" s="118"/>
      <c r="N9" s="109"/>
      <c r="O9" s="119"/>
      <c r="P9" s="120"/>
      <c r="Q9" s="112"/>
      <c r="R9" s="121"/>
      <c r="S9" s="13"/>
      <c r="T9" s="13"/>
      <c r="U9" s="13"/>
      <c r="V9" s="98"/>
      <c r="W9" s="122" t="s">
        <v>111</v>
      </c>
      <c r="X9" s="100" t="s">
        <v>112</v>
      </c>
      <c r="Y9" s="100" t="s">
        <v>113</v>
      </c>
      <c r="Z9" s="100" t="s">
        <v>114</v>
      </c>
      <c r="AA9" s="100" t="s">
        <v>115</v>
      </c>
      <c r="AB9" s="100" t="s">
        <v>104</v>
      </c>
      <c r="AC9" s="74"/>
    </row>
    <row r="10" spans="1:29" ht="54.6" customHeight="1" x14ac:dyDescent="0.25">
      <c r="A10" s="101" t="s">
        <v>116</v>
      </c>
      <c r="B10" s="104" t="s">
        <v>117</v>
      </c>
      <c r="C10" s="732">
        <v>872.9</v>
      </c>
      <c r="D10" s="734">
        <v>0</v>
      </c>
      <c r="E10" s="734">
        <v>0</v>
      </c>
      <c r="F10" s="105">
        <f>SUM(G10:J10)</f>
        <v>0</v>
      </c>
      <c r="G10" s="749">
        <v>0</v>
      </c>
      <c r="H10" s="102">
        <v>0</v>
      </c>
      <c r="I10" s="102">
        <v>0</v>
      </c>
      <c r="J10" s="102">
        <v>0</v>
      </c>
      <c r="K10" s="123"/>
      <c r="L10" s="124"/>
      <c r="M10" s="124"/>
      <c r="N10" s="124"/>
      <c r="O10" s="124"/>
      <c r="P10" s="124"/>
      <c r="Q10" s="124"/>
      <c r="R10" s="121"/>
      <c r="S10" s="13"/>
      <c r="T10" s="13"/>
      <c r="U10" s="13"/>
      <c r="V10" s="98"/>
      <c r="W10" s="122"/>
      <c r="X10" s="100"/>
      <c r="Y10" s="100"/>
      <c r="Z10" s="100"/>
      <c r="AA10" s="100"/>
      <c r="AB10" s="100"/>
      <c r="AC10" s="74"/>
    </row>
    <row r="11" spans="1:29" ht="38.1" customHeight="1" x14ac:dyDescent="0.25">
      <c r="A11" s="101" t="s">
        <v>118</v>
      </c>
      <c r="B11" s="104" t="s">
        <v>119</v>
      </c>
      <c r="C11" s="733">
        <v>402</v>
      </c>
      <c r="D11" s="749">
        <v>0</v>
      </c>
      <c r="E11" s="749">
        <v>0</v>
      </c>
      <c r="F11" s="105">
        <f>G11+H11+I11+J11</f>
        <v>0</v>
      </c>
      <c r="G11" s="749">
        <v>0</v>
      </c>
      <c r="H11" s="102">
        <v>0</v>
      </c>
      <c r="I11" s="102">
        <v>0</v>
      </c>
      <c r="J11" s="102">
        <v>0</v>
      </c>
      <c r="K11" s="125"/>
      <c r="L11" s="126"/>
      <c r="M11" s="126"/>
      <c r="N11" s="126"/>
      <c r="O11" s="126"/>
      <c r="P11" s="126"/>
      <c r="Q11" s="126"/>
      <c r="R11" s="127"/>
      <c r="S11" s="128"/>
      <c r="T11" s="128"/>
      <c r="U11" s="13"/>
      <c r="V11" s="98"/>
      <c r="W11" s="115">
        <f>(Y11+AA11)*5%</f>
        <v>2444833.3333333335</v>
      </c>
      <c r="X11" s="116">
        <v>19076000</v>
      </c>
      <c r="Y11" s="100">
        <f>X11/1.2</f>
        <v>15896666.666666668</v>
      </c>
      <c r="Z11" s="116">
        <v>39600000</v>
      </c>
      <c r="AA11" s="116">
        <f>Z11/1.2</f>
        <v>33000000</v>
      </c>
      <c r="AB11" s="116">
        <f>AA11+Y11</f>
        <v>48896666.666666672</v>
      </c>
      <c r="AC11" s="74"/>
    </row>
    <row r="12" spans="1:29" ht="58.5" customHeight="1" x14ac:dyDescent="0.25">
      <c r="A12" s="101" t="s">
        <v>120</v>
      </c>
      <c r="B12" s="104" t="s">
        <v>121</v>
      </c>
      <c r="C12" s="733">
        <v>62.2</v>
      </c>
      <c r="D12" s="733">
        <v>0</v>
      </c>
      <c r="E12" s="733">
        <v>0</v>
      </c>
      <c r="F12" s="105">
        <f>SUM(G12:J12)</f>
        <v>0</v>
      </c>
      <c r="G12" s="739">
        <v>0</v>
      </c>
      <c r="H12" s="102">
        <v>0</v>
      </c>
      <c r="I12" s="102">
        <v>0</v>
      </c>
      <c r="J12" s="102">
        <v>0</v>
      </c>
      <c r="K12" s="106"/>
      <c r="L12" s="107"/>
      <c r="M12" s="108" t="s">
        <v>122</v>
      </c>
      <c r="N12" s="109"/>
      <c r="O12" s="129"/>
      <c r="P12" s="130"/>
      <c r="Q12" s="112"/>
      <c r="R12" s="127"/>
      <c r="S12" s="128"/>
      <c r="T12" s="128"/>
      <c r="U12" s="13"/>
      <c r="V12" s="98"/>
      <c r="W12" s="131"/>
      <c r="X12" s="74"/>
      <c r="Y12" s="74"/>
      <c r="Z12" s="74"/>
      <c r="AA12" s="74"/>
      <c r="AB12" s="74"/>
      <c r="AC12" s="74"/>
    </row>
    <row r="13" spans="1:29" ht="43.15" customHeight="1" x14ac:dyDescent="0.25">
      <c r="A13" s="101" t="s">
        <v>123</v>
      </c>
      <c r="B13" s="104" t="s">
        <v>124</v>
      </c>
      <c r="C13" s="734">
        <v>0.5</v>
      </c>
      <c r="D13" s="734">
        <v>0</v>
      </c>
      <c r="E13" s="734">
        <v>0</v>
      </c>
      <c r="F13" s="105">
        <f>SUM(G13:J13)</f>
        <v>0</v>
      </c>
      <c r="G13" s="749">
        <v>0</v>
      </c>
      <c r="H13" s="102">
        <v>0</v>
      </c>
      <c r="I13" s="102">
        <v>0</v>
      </c>
      <c r="J13" s="102">
        <v>0</v>
      </c>
      <c r="K13" s="106"/>
      <c r="L13" s="132"/>
      <c r="M13" s="133"/>
      <c r="N13" s="109"/>
      <c r="O13" s="119"/>
      <c r="P13" s="120"/>
      <c r="Q13" s="134"/>
      <c r="R13" s="135"/>
      <c r="S13" s="98"/>
      <c r="T13" s="98"/>
      <c r="U13" s="13"/>
      <c r="V13" s="98"/>
      <c r="W13" s="136"/>
      <c r="X13" s="74"/>
      <c r="Y13" s="74"/>
      <c r="Z13" s="74"/>
      <c r="AA13" s="74"/>
      <c r="AB13" s="74"/>
      <c r="AC13" s="74"/>
    </row>
    <row r="14" spans="1:29" ht="39.4" customHeight="1" x14ac:dyDescent="0.25">
      <c r="A14" s="101" t="s">
        <v>125</v>
      </c>
      <c r="B14" s="104" t="s">
        <v>126</v>
      </c>
      <c r="C14" s="734">
        <v>0</v>
      </c>
      <c r="D14" s="102">
        <v>0</v>
      </c>
      <c r="E14" s="102">
        <v>0</v>
      </c>
      <c r="F14" s="105">
        <f>SUM(G14:J14)</f>
        <v>0</v>
      </c>
      <c r="G14" s="102">
        <v>0</v>
      </c>
      <c r="H14" s="102">
        <v>0</v>
      </c>
      <c r="I14" s="102">
        <v>0</v>
      </c>
      <c r="J14" s="102">
        <v>0</v>
      </c>
      <c r="K14" s="137"/>
      <c r="L14" s="107"/>
      <c r="M14" s="133"/>
      <c r="N14" s="109"/>
      <c r="O14" s="119"/>
      <c r="P14" s="120"/>
      <c r="Q14" s="134"/>
      <c r="R14" s="135"/>
      <c r="S14" s="98"/>
      <c r="T14" s="98"/>
      <c r="U14" s="13"/>
      <c r="V14" s="98"/>
      <c r="W14" s="136"/>
      <c r="X14" s="74"/>
      <c r="Y14" s="74"/>
      <c r="Z14" s="74"/>
      <c r="AA14" s="74"/>
      <c r="AB14" s="74"/>
      <c r="AC14" s="74"/>
    </row>
    <row r="15" spans="1:29" ht="98.25" customHeight="1" x14ac:dyDescent="0.25">
      <c r="A15" s="138" t="s">
        <v>127</v>
      </c>
      <c r="B15" s="92" t="s">
        <v>128</v>
      </c>
      <c r="C15" s="139">
        <f>ROUND(SUM(C16:C21),1)</f>
        <v>2395.4</v>
      </c>
      <c r="D15" s="139">
        <f>ROUND(SUM(D16:D21),1)</f>
        <v>0</v>
      </c>
      <c r="E15" s="139">
        <f>ROUND(SUM(E16:E21),1)</f>
        <v>0</v>
      </c>
      <c r="F15" s="81">
        <f>SUM(F16:F21)</f>
        <v>0</v>
      </c>
      <c r="G15" s="139">
        <f>ROUND(SUM(G16:G21),1)</f>
        <v>0</v>
      </c>
      <c r="H15" s="139">
        <f>ROUND(SUM(H16:H21),1)</f>
        <v>0</v>
      </c>
      <c r="I15" s="139">
        <f>ROUND(SUM(I16:I21),1)</f>
        <v>0</v>
      </c>
      <c r="J15" s="139">
        <f>ROUND(SUM(J16:J21),1)</f>
        <v>0</v>
      </c>
      <c r="K15" s="140"/>
      <c r="L15" s="141"/>
      <c r="M15" s="142"/>
      <c r="N15" s="74"/>
      <c r="O15" s="129"/>
      <c r="P15" s="129"/>
      <c r="Q15" s="134"/>
      <c r="R15" s="143"/>
      <c r="S15" s="98"/>
      <c r="T15" s="98"/>
      <c r="U15" s="13"/>
      <c r="V15" s="98"/>
      <c r="W15" s="74"/>
      <c r="X15" s="74"/>
      <c r="Y15" s="74"/>
      <c r="Z15" s="74"/>
      <c r="AA15" s="74"/>
      <c r="AB15" s="74"/>
      <c r="AC15" s="74"/>
    </row>
    <row r="16" spans="1:29" ht="65.25" customHeight="1" x14ac:dyDescent="0.25">
      <c r="A16" s="144" t="s">
        <v>129</v>
      </c>
      <c r="B16" s="77" t="s">
        <v>130</v>
      </c>
      <c r="C16" s="733">
        <v>227.1</v>
      </c>
      <c r="D16" s="739">
        <v>0</v>
      </c>
      <c r="E16" s="739">
        <v>0</v>
      </c>
      <c r="F16" s="81">
        <f>ROUND(SUM(G16:J16),1)</f>
        <v>0</v>
      </c>
      <c r="G16" s="739">
        <v>0</v>
      </c>
      <c r="H16" s="739">
        <v>0</v>
      </c>
      <c r="I16" s="739">
        <v>0</v>
      </c>
      <c r="J16" s="750">
        <v>0</v>
      </c>
      <c r="K16" s="145"/>
      <c r="L16" s="146"/>
      <c r="M16" s="142"/>
      <c r="N16" s="74"/>
      <c r="O16" s="119"/>
      <c r="P16" s="120"/>
      <c r="Q16" s="112"/>
      <c r="R16" s="127"/>
      <c r="S16" s="128"/>
      <c r="T16" s="128"/>
      <c r="U16" s="13"/>
      <c r="V16" s="98"/>
      <c r="W16" s="74"/>
      <c r="X16" s="74"/>
      <c r="Y16" s="74"/>
      <c r="Z16" s="74"/>
      <c r="AA16" s="74"/>
      <c r="AB16" s="74"/>
      <c r="AC16" s="74"/>
    </row>
    <row r="17" spans="1:29" ht="52.15" customHeight="1" x14ac:dyDescent="0.25">
      <c r="A17" s="147" t="s">
        <v>131</v>
      </c>
      <c r="B17" s="148" t="s">
        <v>132</v>
      </c>
      <c r="C17" s="733">
        <v>6.4</v>
      </c>
      <c r="D17" s="739">
        <v>0</v>
      </c>
      <c r="E17" s="739">
        <v>0</v>
      </c>
      <c r="F17" s="225">
        <f>ROUND(SUM(G17:J17),1)</f>
        <v>0</v>
      </c>
      <c r="G17" s="739">
        <v>0</v>
      </c>
      <c r="H17" s="739">
        <v>0</v>
      </c>
      <c r="I17" s="739">
        <v>0</v>
      </c>
      <c r="J17" s="739">
        <v>0</v>
      </c>
      <c r="K17" s="149"/>
      <c r="L17" s="150"/>
      <c r="M17" s="74"/>
      <c r="N17" s="74"/>
      <c r="O17" s="151"/>
      <c r="P17" s="151"/>
      <c r="Q17" s="134"/>
      <c r="R17" s="152"/>
      <c r="S17" s="153"/>
      <c r="T17" s="153"/>
      <c r="U17" s="74"/>
      <c r="V17" s="74"/>
      <c r="W17" s="74"/>
      <c r="X17" s="74"/>
      <c r="Y17" s="74"/>
      <c r="Z17" s="74"/>
      <c r="AA17" s="74"/>
      <c r="AB17" s="74"/>
      <c r="AC17" s="74"/>
    </row>
    <row r="18" spans="1:29" ht="67.349999999999994" customHeight="1" x14ac:dyDescent="0.25">
      <c r="A18" s="147" t="s">
        <v>133</v>
      </c>
      <c r="B18" s="148" t="s">
        <v>134</v>
      </c>
      <c r="C18" s="733">
        <v>749.1</v>
      </c>
      <c r="D18" s="739">
        <v>0</v>
      </c>
      <c r="E18" s="739">
        <v>0</v>
      </c>
      <c r="F18" s="225">
        <f>ROUND(SUM(G18:J18),1)</f>
        <v>0</v>
      </c>
      <c r="G18" s="739">
        <v>0</v>
      </c>
      <c r="H18" s="739">
        <v>0</v>
      </c>
      <c r="I18" s="739">
        <v>0</v>
      </c>
      <c r="J18" s="739">
        <v>0</v>
      </c>
      <c r="K18" s="809"/>
      <c r="L18" s="810"/>
      <c r="M18" s="142"/>
      <c r="N18" s="74"/>
      <c r="O18" s="74"/>
      <c r="P18" s="74"/>
      <c r="Q18" s="154"/>
      <c r="R18" s="152"/>
      <c r="S18" s="153"/>
      <c r="T18" s="153"/>
      <c r="U18" s="74"/>
      <c r="V18" s="155"/>
      <c r="W18" s="74"/>
      <c r="X18" s="74"/>
      <c r="Y18" s="74"/>
      <c r="Z18" s="74"/>
      <c r="AA18" s="74"/>
      <c r="AB18" s="74"/>
      <c r="AC18" s="74"/>
    </row>
    <row r="19" spans="1:29" ht="93.75" customHeight="1" x14ac:dyDescent="0.25">
      <c r="A19" s="147" t="s">
        <v>135</v>
      </c>
      <c r="B19" s="148" t="s">
        <v>136</v>
      </c>
      <c r="C19" s="733">
        <v>164.8</v>
      </c>
      <c r="D19" s="739">
        <v>0</v>
      </c>
      <c r="E19" s="739">
        <v>0</v>
      </c>
      <c r="F19" s="252">
        <f>ROUND(SUM(G19:J19),1)</f>
        <v>0</v>
      </c>
      <c r="G19" s="751">
        <v>0</v>
      </c>
      <c r="H19" s="751">
        <v>0</v>
      </c>
      <c r="I19" s="751">
        <v>0</v>
      </c>
      <c r="J19" s="751">
        <v>0</v>
      </c>
      <c r="K19" s="809"/>
      <c r="L19" s="810"/>
      <c r="M19" s="142"/>
      <c r="N19" s="74"/>
      <c r="O19" s="74"/>
      <c r="P19" s="74"/>
      <c r="Q19" s="154"/>
      <c r="R19" s="152"/>
      <c r="S19" s="153"/>
      <c r="T19" s="153"/>
      <c r="U19" s="74"/>
      <c r="V19" s="74"/>
      <c r="W19" s="74"/>
      <c r="X19" s="74"/>
      <c r="Y19" s="74"/>
      <c r="Z19" s="74"/>
      <c r="AA19" s="74"/>
      <c r="AB19" s="74"/>
      <c r="AC19" s="74"/>
    </row>
    <row r="20" spans="1:29" ht="93.75" customHeight="1" x14ac:dyDescent="0.25">
      <c r="A20" s="147" t="s">
        <v>137</v>
      </c>
      <c r="B20" s="148" t="s">
        <v>138</v>
      </c>
      <c r="C20" s="733">
        <v>269.8</v>
      </c>
      <c r="D20" s="739">
        <v>0</v>
      </c>
      <c r="E20" s="739">
        <v>0</v>
      </c>
      <c r="F20" s="225">
        <f>ROUND(SUM(G20:J20),1)</f>
        <v>0</v>
      </c>
      <c r="G20" s="739">
        <v>0</v>
      </c>
      <c r="H20" s="739">
        <v>0</v>
      </c>
      <c r="I20" s="739">
        <v>0</v>
      </c>
      <c r="J20" s="739">
        <v>0</v>
      </c>
      <c r="K20" s="156"/>
      <c r="L20" s="157"/>
      <c r="M20" s="158"/>
      <c r="N20" s="74"/>
      <c r="O20" s="74"/>
      <c r="P20" s="74"/>
      <c r="Q20" s="134"/>
      <c r="R20" s="152"/>
      <c r="S20" s="159"/>
      <c r="T20" s="159"/>
      <c r="U20" s="74"/>
      <c r="V20" s="74"/>
      <c r="W20" s="74"/>
      <c r="X20" s="74"/>
      <c r="Y20" s="74"/>
      <c r="Z20" s="74"/>
      <c r="AA20" s="74"/>
      <c r="AB20" s="74"/>
      <c r="AC20" s="74"/>
    </row>
    <row r="21" spans="1:29" ht="59.65" customHeight="1" x14ac:dyDescent="0.25">
      <c r="A21" s="160" t="s">
        <v>139</v>
      </c>
      <c r="B21" s="81" t="s">
        <v>140</v>
      </c>
      <c r="C21" s="139">
        <f>SUM(C22:C42)</f>
        <v>978.19999999999993</v>
      </c>
      <c r="D21" s="139">
        <f t="shared" ref="D21:J21" si="0">SUM(D22:D43)</f>
        <v>0</v>
      </c>
      <c r="E21" s="139">
        <f t="shared" si="0"/>
        <v>0</v>
      </c>
      <c r="F21" s="81">
        <f t="shared" si="0"/>
        <v>0</v>
      </c>
      <c r="G21" s="139">
        <f t="shared" si="0"/>
        <v>0</v>
      </c>
      <c r="H21" s="139">
        <f t="shared" si="0"/>
        <v>0</v>
      </c>
      <c r="I21" s="139">
        <f t="shared" si="0"/>
        <v>0</v>
      </c>
      <c r="J21" s="139">
        <f t="shared" si="0"/>
        <v>0</v>
      </c>
      <c r="K21" s="161"/>
      <c r="L21" s="142"/>
      <c r="M21" s="142"/>
      <c r="N21" s="74"/>
      <c r="O21" s="74"/>
      <c r="P21" s="74"/>
      <c r="Q21" s="134"/>
      <c r="R21" s="152"/>
      <c r="S21" s="159"/>
      <c r="T21" s="159"/>
      <c r="U21" s="74"/>
      <c r="V21" s="74"/>
      <c r="W21" s="74"/>
      <c r="X21" s="74"/>
      <c r="Y21" s="74"/>
      <c r="Z21" s="74"/>
      <c r="AA21" s="74"/>
      <c r="AB21" s="74"/>
      <c r="AC21" s="74"/>
    </row>
    <row r="22" spans="1:29" ht="96" customHeight="1" x14ac:dyDescent="0.25">
      <c r="A22" s="162" t="s">
        <v>141</v>
      </c>
      <c r="B22" s="77" t="s">
        <v>142</v>
      </c>
      <c r="C22" s="733">
        <v>92.3</v>
      </c>
      <c r="D22" s="739">
        <v>0</v>
      </c>
      <c r="E22" s="739">
        <v>0</v>
      </c>
      <c r="F22" s="81">
        <f>SUM(G22:J22)</f>
        <v>0</v>
      </c>
      <c r="G22" s="739">
        <v>0</v>
      </c>
      <c r="H22" s="739">
        <v>0</v>
      </c>
      <c r="I22" s="739">
        <v>0</v>
      </c>
      <c r="J22" s="739">
        <v>0</v>
      </c>
      <c r="K22" s="163"/>
      <c r="L22" s="142"/>
      <c r="M22" s="142"/>
      <c r="N22" s="164"/>
      <c r="O22" s="164"/>
      <c r="P22" s="151"/>
      <c r="Q22" s="134"/>
      <c r="R22" s="152"/>
      <c r="S22" s="165"/>
      <c r="T22" s="165"/>
      <c r="U22" s="89"/>
      <c r="V22" s="89"/>
      <c r="W22" s="89"/>
      <c r="X22" s="89"/>
      <c r="Y22" s="89"/>
      <c r="Z22" s="89"/>
      <c r="AA22" s="89"/>
      <c r="AB22" s="89"/>
      <c r="AC22" s="89"/>
    </row>
    <row r="23" spans="1:29" ht="80.25" customHeight="1" x14ac:dyDescent="0.2">
      <c r="A23" s="162" t="s">
        <v>143</v>
      </c>
      <c r="B23" s="77" t="s">
        <v>144</v>
      </c>
      <c r="C23" s="731">
        <v>233.1</v>
      </c>
      <c r="D23" s="739">
        <v>0</v>
      </c>
      <c r="E23" s="739">
        <v>0</v>
      </c>
      <c r="F23" s="81">
        <f>SUM(G23:J23)</f>
        <v>0</v>
      </c>
      <c r="G23" s="739">
        <v>0</v>
      </c>
      <c r="H23" s="739">
        <v>0</v>
      </c>
      <c r="I23" s="739">
        <v>0</v>
      </c>
      <c r="J23" s="739">
        <v>0</v>
      </c>
      <c r="K23" s="166"/>
      <c r="L23" s="167"/>
      <c r="M23" s="142"/>
      <c r="N23" s="168"/>
      <c r="O23" s="168"/>
      <c r="R23" s="169"/>
      <c r="S23" s="165"/>
      <c r="T23" s="165"/>
      <c r="U23" s="89"/>
      <c r="V23" s="89"/>
      <c r="W23" s="89"/>
      <c r="X23" s="89"/>
      <c r="Y23" s="89"/>
      <c r="Z23" s="89"/>
      <c r="AA23" s="89"/>
      <c r="AB23" s="89"/>
      <c r="AC23" s="89"/>
    </row>
    <row r="24" spans="1:29" ht="94.5" customHeight="1" x14ac:dyDescent="0.3">
      <c r="A24" s="162" t="s">
        <v>145</v>
      </c>
      <c r="B24" s="77" t="s">
        <v>146</v>
      </c>
      <c r="C24" s="731">
        <v>486</v>
      </c>
      <c r="D24" s="739">
        <v>0</v>
      </c>
      <c r="E24" s="739">
        <v>0</v>
      </c>
      <c r="F24" s="81">
        <f>SUM(G24:J24)</f>
        <v>0</v>
      </c>
      <c r="G24" s="739">
        <v>0</v>
      </c>
      <c r="H24" s="739">
        <v>0</v>
      </c>
      <c r="I24" s="739">
        <v>0</v>
      </c>
      <c r="J24" s="739">
        <v>0</v>
      </c>
      <c r="K24" s="170"/>
      <c r="L24" s="171"/>
      <c r="M24" s="172"/>
      <c r="N24" s="173"/>
      <c r="O24" s="173"/>
      <c r="R24" s="169"/>
      <c r="S24" s="165"/>
      <c r="T24" s="165"/>
      <c r="U24" s="89"/>
      <c r="V24" s="89"/>
      <c r="W24" s="89"/>
      <c r="X24" s="89"/>
      <c r="Y24" s="89"/>
      <c r="Z24" s="89"/>
      <c r="AA24" s="89"/>
      <c r="AB24" s="89"/>
      <c r="AC24" s="89"/>
    </row>
    <row r="25" spans="1:29" ht="57.2" customHeight="1" x14ac:dyDescent="0.2">
      <c r="A25" s="162" t="s">
        <v>147</v>
      </c>
      <c r="B25" s="77" t="s">
        <v>148</v>
      </c>
      <c r="C25" s="234"/>
      <c r="D25" s="739">
        <v>0</v>
      </c>
      <c r="E25" s="739">
        <v>0</v>
      </c>
      <c r="F25" s="81">
        <f t="shared" ref="F25:F38" si="1">ROUND(SUM(G25:J25),1)</f>
        <v>0</v>
      </c>
      <c r="G25" s="734">
        <v>0</v>
      </c>
      <c r="H25" s="739">
        <v>0</v>
      </c>
      <c r="I25" s="739">
        <v>0</v>
      </c>
      <c r="J25" s="739">
        <v>0</v>
      </c>
      <c r="K25" s="125"/>
      <c r="L25" s="174"/>
      <c r="M25" s="174"/>
      <c r="N25" s="164"/>
      <c r="O25" s="164"/>
      <c r="P25" s="89"/>
      <c r="Q25" s="165"/>
      <c r="R25" s="169"/>
      <c r="S25" s="165"/>
      <c r="T25" s="165"/>
      <c r="U25" s="89"/>
      <c r="V25" s="89"/>
      <c r="W25" s="89"/>
      <c r="X25" s="89"/>
      <c r="Y25" s="89"/>
      <c r="Z25" s="89"/>
      <c r="AA25" s="89"/>
      <c r="AB25" s="89"/>
      <c r="AC25" s="89"/>
    </row>
    <row r="26" spans="1:29" ht="49.5" customHeight="1" x14ac:dyDescent="0.2">
      <c r="A26" s="162" t="s">
        <v>149</v>
      </c>
      <c r="B26" s="77" t="s">
        <v>150</v>
      </c>
      <c r="C26" s="234"/>
      <c r="D26" s="739">
        <v>0</v>
      </c>
      <c r="E26" s="739">
        <v>0</v>
      </c>
      <c r="F26" s="81">
        <f t="shared" si="1"/>
        <v>0</v>
      </c>
      <c r="G26" s="739">
        <v>0</v>
      </c>
      <c r="H26" s="739">
        <v>0</v>
      </c>
      <c r="I26" s="739">
        <v>0</v>
      </c>
      <c r="J26" s="739">
        <v>0</v>
      </c>
      <c r="K26" s="175"/>
      <c r="L26" s="142"/>
      <c r="M26" s="142"/>
      <c r="N26" s="164"/>
      <c r="O26" s="164"/>
      <c r="P26" s="89"/>
      <c r="Q26" s="176"/>
      <c r="R26" s="177"/>
      <c r="S26" s="176"/>
      <c r="T26" s="176"/>
      <c r="U26" s="89"/>
      <c r="V26" s="89"/>
      <c r="W26" s="89"/>
      <c r="X26" s="89"/>
      <c r="Y26" s="89"/>
      <c r="Z26" s="89"/>
      <c r="AA26" s="89"/>
      <c r="AB26" s="89"/>
      <c r="AC26" s="89"/>
    </row>
    <row r="27" spans="1:29" ht="59.25" customHeight="1" x14ac:dyDescent="0.25">
      <c r="A27" s="162" t="s">
        <v>151</v>
      </c>
      <c r="B27" s="77" t="s">
        <v>152</v>
      </c>
      <c r="C27" s="735">
        <v>14.4</v>
      </c>
      <c r="D27" s="735">
        <v>0</v>
      </c>
      <c r="E27" s="735">
        <v>0</v>
      </c>
      <c r="F27" s="752">
        <f t="shared" si="1"/>
        <v>0</v>
      </c>
      <c r="G27" s="739">
        <v>0</v>
      </c>
      <c r="H27" s="739">
        <v>0</v>
      </c>
      <c r="I27" s="739">
        <v>0</v>
      </c>
      <c r="J27" s="739">
        <v>0</v>
      </c>
      <c r="K27" s="178"/>
      <c r="L27" s="142"/>
      <c r="M27" s="142"/>
      <c r="N27" s="155"/>
      <c r="O27" s="74"/>
      <c r="P27" s="179"/>
      <c r="Q27" s="74"/>
      <c r="R27" s="75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ht="52.15" customHeight="1" x14ac:dyDescent="0.25">
      <c r="A28" s="162" t="s">
        <v>153</v>
      </c>
      <c r="B28" s="77" t="s">
        <v>154</v>
      </c>
      <c r="C28" s="733">
        <v>12.8</v>
      </c>
      <c r="D28" s="735">
        <v>0</v>
      </c>
      <c r="E28" s="735">
        <v>0</v>
      </c>
      <c r="F28" s="753">
        <f t="shared" si="1"/>
        <v>0</v>
      </c>
      <c r="G28" s="739">
        <v>0</v>
      </c>
      <c r="H28" s="739">
        <v>0</v>
      </c>
      <c r="I28" s="739">
        <v>0</v>
      </c>
      <c r="J28" s="739">
        <v>0</v>
      </c>
      <c r="K28" s="180"/>
      <c r="L28" s="181"/>
      <c r="N28" s="155"/>
      <c r="O28" s="74"/>
      <c r="P28" s="182"/>
      <c r="Q28" s="74"/>
      <c r="R28" s="75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</row>
    <row r="29" spans="1:29" ht="66.75" customHeight="1" x14ac:dyDescent="0.2">
      <c r="A29" s="162" t="s">
        <v>155</v>
      </c>
      <c r="B29" s="77" t="s">
        <v>156</v>
      </c>
      <c r="C29" s="736">
        <v>82.5</v>
      </c>
      <c r="D29" s="736">
        <v>0</v>
      </c>
      <c r="E29" s="736">
        <v>0</v>
      </c>
      <c r="F29" s="81">
        <f t="shared" si="1"/>
        <v>0</v>
      </c>
      <c r="G29" s="739">
        <v>0</v>
      </c>
      <c r="H29" s="739">
        <v>0</v>
      </c>
      <c r="I29" s="739">
        <v>0</v>
      </c>
      <c r="J29" s="739">
        <v>0</v>
      </c>
      <c r="K29" s="183"/>
      <c r="L29" s="184"/>
      <c r="M29" s="142"/>
      <c r="N29" s="164"/>
      <c r="O29" s="164"/>
      <c r="P29" s="89"/>
      <c r="Q29" s="176"/>
      <c r="R29" s="177"/>
      <c r="S29" s="176"/>
      <c r="T29" s="176"/>
      <c r="U29" s="89"/>
      <c r="V29" s="89"/>
      <c r="W29" s="89"/>
      <c r="X29" s="89"/>
      <c r="Y29" s="89"/>
      <c r="Z29" s="89"/>
      <c r="AA29" s="89"/>
      <c r="AB29" s="89"/>
      <c r="AC29" s="89"/>
    </row>
    <row r="30" spans="1:29" ht="72.400000000000006" customHeight="1" x14ac:dyDescent="0.2">
      <c r="A30" s="162" t="s">
        <v>157</v>
      </c>
      <c r="B30" s="77" t="s">
        <v>158</v>
      </c>
      <c r="C30" s="733">
        <v>0.8</v>
      </c>
      <c r="D30" s="733">
        <v>0</v>
      </c>
      <c r="E30" s="733">
        <v>0</v>
      </c>
      <c r="F30" s="754">
        <f t="shared" si="1"/>
        <v>0</v>
      </c>
      <c r="G30" s="733">
        <v>0</v>
      </c>
      <c r="H30" s="739">
        <v>0</v>
      </c>
      <c r="I30" s="739">
        <v>0</v>
      </c>
      <c r="J30" s="739">
        <v>0</v>
      </c>
      <c r="K30" s="185"/>
      <c r="L30" s="186"/>
      <c r="M30" s="174"/>
      <c r="N30" s="164"/>
      <c r="O30" s="164"/>
      <c r="P30" s="89"/>
      <c r="Q30" s="89"/>
      <c r="R30" s="90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</row>
    <row r="31" spans="1:29" ht="53.45" customHeight="1" x14ac:dyDescent="0.2">
      <c r="A31" s="162" t="s">
        <v>159</v>
      </c>
      <c r="B31" s="77" t="s">
        <v>160</v>
      </c>
      <c r="C31" s="733"/>
      <c r="D31" s="733">
        <v>0</v>
      </c>
      <c r="E31" s="733">
        <v>0</v>
      </c>
      <c r="F31" s="81">
        <f t="shared" si="1"/>
        <v>0</v>
      </c>
      <c r="G31" s="739">
        <v>0</v>
      </c>
      <c r="H31" s="739">
        <v>0</v>
      </c>
      <c r="I31" s="739">
        <v>0</v>
      </c>
      <c r="J31" s="739">
        <v>0</v>
      </c>
      <c r="K31" s="187"/>
      <c r="L31" s="174"/>
      <c r="M31" s="174"/>
      <c r="N31" s="164"/>
      <c r="O31" s="164"/>
      <c r="P31" s="89"/>
      <c r="Q31" s="89"/>
      <c r="R31" s="90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</row>
    <row r="32" spans="1:29" ht="64.5" customHeight="1" x14ac:dyDescent="0.2">
      <c r="A32" s="162" t="s">
        <v>161</v>
      </c>
      <c r="B32" s="77" t="s">
        <v>162</v>
      </c>
      <c r="C32" s="733"/>
      <c r="D32" s="733">
        <v>0</v>
      </c>
      <c r="E32" s="733">
        <v>0</v>
      </c>
      <c r="F32" s="81">
        <f t="shared" si="1"/>
        <v>0</v>
      </c>
      <c r="G32" s="739">
        <v>0</v>
      </c>
      <c r="H32" s="739">
        <v>0</v>
      </c>
      <c r="I32" s="739">
        <v>0</v>
      </c>
      <c r="J32" s="739">
        <v>0</v>
      </c>
      <c r="K32" s="188"/>
      <c r="L32" s="142"/>
      <c r="M32" s="142"/>
      <c r="N32" s="164"/>
      <c r="O32" s="164"/>
      <c r="P32" s="89"/>
      <c r="Q32" s="89"/>
      <c r="R32" s="90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</row>
    <row r="33" spans="1:29" ht="58.5" customHeight="1" x14ac:dyDescent="0.2">
      <c r="A33" s="189" t="s">
        <v>163</v>
      </c>
      <c r="B33" s="77" t="s">
        <v>164</v>
      </c>
      <c r="C33" s="733">
        <v>2.2000000000000002</v>
      </c>
      <c r="D33" s="733">
        <v>0</v>
      </c>
      <c r="E33" s="733">
        <v>0</v>
      </c>
      <c r="F33" s="81">
        <f t="shared" si="1"/>
        <v>0</v>
      </c>
      <c r="G33" s="742">
        <v>0</v>
      </c>
      <c r="H33" s="739">
        <v>0</v>
      </c>
      <c r="I33" s="739">
        <v>0</v>
      </c>
      <c r="J33" s="739">
        <v>0</v>
      </c>
      <c r="K33" s="190"/>
      <c r="L33" s="142"/>
      <c r="M33" s="142"/>
      <c r="N33" s="164"/>
      <c r="O33" s="164"/>
      <c r="P33" s="89"/>
      <c r="Q33" s="89"/>
      <c r="R33" s="90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</row>
    <row r="34" spans="1:29" ht="44.45" customHeight="1" x14ac:dyDescent="0.2">
      <c r="A34" s="189" t="s">
        <v>165</v>
      </c>
      <c r="B34" s="77" t="s">
        <v>166</v>
      </c>
      <c r="C34" s="733"/>
      <c r="D34" s="733">
        <v>0</v>
      </c>
      <c r="E34" s="733">
        <v>0</v>
      </c>
      <c r="F34" s="81">
        <f t="shared" si="1"/>
        <v>0</v>
      </c>
      <c r="G34" s="742">
        <v>0</v>
      </c>
      <c r="H34" s="739">
        <v>0</v>
      </c>
      <c r="I34" s="739">
        <v>0</v>
      </c>
      <c r="J34" s="739">
        <v>0</v>
      </c>
      <c r="K34" s="191"/>
      <c r="L34" s="142"/>
      <c r="M34" s="142"/>
      <c r="N34" s="164"/>
      <c r="O34" s="164"/>
      <c r="P34" s="89"/>
      <c r="Q34" s="89"/>
      <c r="R34" s="90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</row>
    <row r="35" spans="1:29" ht="43.15" customHeight="1" x14ac:dyDescent="0.2">
      <c r="A35" s="189" t="s">
        <v>167</v>
      </c>
      <c r="B35" s="77" t="s">
        <v>168</v>
      </c>
      <c r="C35" s="733">
        <v>6.8</v>
      </c>
      <c r="D35" s="733">
        <v>0</v>
      </c>
      <c r="E35" s="733">
        <v>0</v>
      </c>
      <c r="F35" s="81">
        <f t="shared" si="1"/>
        <v>0</v>
      </c>
      <c r="G35" s="742">
        <v>0</v>
      </c>
      <c r="H35" s="739">
        <v>0</v>
      </c>
      <c r="I35" s="739">
        <v>0</v>
      </c>
      <c r="J35" s="739">
        <v>0</v>
      </c>
      <c r="K35" s="191"/>
      <c r="L35" s="192"/>
      <c r="M35" s="192"/>
      <c r="N35" s="164"/>
      <c r="O35" s="164"/>
      <c r="P35" s="89"/>
      <c r="Q35" s="89"/>
      <c r="R35" s="90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</row>
    <row r="36" spans="1:29" ht="41.85" customHeight="1" x14ac:dyDescent="0.2">
      <c r="A36" s="193" t="s">
        <v>169</v>
      </c>
      <c r="B36" s="148" t="s">
        <v>170</v>
      </c>
      <c r="C36" s="733">
        <v>2.4</v>
      </c>
      <c r="D36" s="733">
        <v>0</v>
      </c>
      <c r="E36" s="733">
        <v>0</v>
      </c>
      <c r="F36" s="225">
        <f t="shared" si="1"/>
        <v>0</v>
      </c>
      <c r="G36" s="739">
        <v>0</v>
      </c>
      <c r="H36" s="739">
        <v>0</v>
      </c>
      <c r="I36" s="739">
        <v>0</v>
      </c>
      <c r="J36" s="739">
        <v>0</v>
      </c>
      <c r="K36" s="194"/>
      <c r="L36" s="195" t="s">
        <v>171</v>
      </c>
      <c r="M36" s="174"/>
      <c r="N36" s="164"/>
      <c r="O36" s="164"/>
      <c r="P36" s="89"/>
      <c r="Q36" s="89"/>
      <c r="R36" s="90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</row>
    <row r="37" spans="1:29" ht="39.4" customHeight="1" x14ac:dyDescent="0.2">
      <c r="A37" s="193" t="s">
        <v>172</v>
      </c>
      <c r="B37" s="148" t="s">
        <v>173</v>
      </c>
      <c r="C37" s="733">
        <v>0</v>
      </c>
      <c r="D37" s="733">
        <v>0</v>
      </c>
      <c r="E37" s="102">
        <v>0</v>
      </c>
      <c r="F37" s="225">
        <f t="shared" si="1"/>
        <v>0</v>
      </c>
      <c r="G37" s="102">
        <v>0</v>
      </c>
      <c r="H37" s="739">
        <v>0</v>
      </c>
      <c r="I37" s="739">
        <v>0</v>
      </c>
      <c r="J37" s="739">
        <v>0</v>
      </c>
      <c r="K37" s="187"/>
      <c r="L37" s="142"/>
      <c r="M37" s="142"/>
      <c r="N37" s="164"/>
      <c r="O37" s="164"/>
      <c r="P37" s="89"/>
      <c r="Q37" s="89"/>
      <c r="R37" s="90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</row>
    <row r="38" spans="1:29" ht="35.65" customHeight="1" x14ac:dyDescent="0.2">
      <c r="A38" s="193" t="s">
        <v>174</v>
      </c>
      <c r="B38" s="148" t="s">
        <v>175</v>
      </c>
      <c r="C38" s="733">
        <v>0</v>
      </c>
      <c r="D38" s="733">
        <v>0</v>
      </c>
      <c r="E38" s="102">
        <v>0</v>
      </c>
      <c r="F38" s="225">
        <f t="shared" si="1"/>
        <v>0</v>
      </c>
      <c r="G38" s="102">
        <v>0</v>
      </c>
      <c r="H38" s="739">
        <v>0</v>
      </c>
      <c r="I38" s="739">
        <v>0</v>
      </c>
      <c r="J38" s="739">
        <v>0</v>
      </c>
      <c r="K38" s="187"/>
      <c r="L38" s="142"/>
      <c r="M38" s="142"/>
      <c r="N38" s="164"/>
      <c r="O38" s="164"/>
      <c r="P38" s="89"/>
      <c r="Q38" s="89"/>
      <c r="R38" s="90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</row>
    <row r="39" spans="1:29" ht="75.75" customHeight="1" x14ac:dyDescent="0.2">
      <c r="A39" s="193" t="s">
        <v>176</v>
      </c>
      <c r="B39" s="148" t="s">
        <v>177</v>
      </c>
      <c r="C39" s="733">
        <v>18.7</v>
      </c>
      <c r="D39" s="733">
        <v>0</v>
      </c>
      <c r="E39" s="733">
        <v>0</v>
      </c>
      <c r="F39" s="225">
        <f>SUM(G39:J39)</f>
        <v>0</v>
      </c>
      <c r="G39" s="739">
        <v>0</v>
      </c>
      <c r="H39" s="739">
        <v>0</v>
      </c>
      <c r="I39" s="739">
        <v>0</v>
      </c>
      <c r="J39" s="739">
        <v>0</v>
      </c>
      <c r="K39" s="196"/>
      <c r="L39" s="197"/>
      <c r="M39" s="197"/>
      <c r="N39" s="164"/>
      <c r="O39" s="164"/>
      <c r="P39" s="89"/>
      <c r="Q39" s="89"/>
      <c r="R39" s="90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</row>
    <row r="40" spans="1:29" ht="63" customHeight="1" x14ac:dyDescent="0.2">
      <c r="A40" s="193" t="s">
        <v>178</v>
      </c>
      <c r="B40" s="148" t="s">
        <v>179</v>
      </c>
      <c r="C40" s="733"/>
      <c r="D40" s="733">
        <v>0</v>
      </c>
      <c r="E40" s="741">
        <v>0</v>
      </c>
      <c r="F40" s="225">
        <f>SUM(G40:J40)</f>
        <v>0</v>
      </c>
      <c r="G40" s="739">
        <v>0</v>
      </c>
      <c r="H40" s="739">
        <v>0</v>
      </c>
      <c r="I40" s="739">
        <v>0</v>
      </c>
      <c r="J40" s="739">
        <v>0</v>
      </c>
      <c r="K40" s="80"/>
      <c r="L40" s="198"/>
      <c r="M40" s="198"/>
      <c r="N40" s="199"/>
      <c r="O40" s="199"/>
      <c r="P40" s="199"/>
      <c r="Q40" s="89"/>
      <c r="R40" s="90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</row>
    <row r="41" spans="1:29" ht="103.5" customHeight="1" x14ac:dyDescent="0.2">
      <c r="A41" s="193" t="s">
        <v>873</v>
      </c>
      <c r="B41" s="148" t="s">
        <v>180</v>
      </c>
      <c r="C41" s="733">
        <v>8</v>
      </c>
      <c r="D41" s="733">
        <v>0</v>
      </c>
      <c r="E41" s="741"/>
      <c r="F41" s="225">
        <f>SUM(G41:J41)</f>
        <v>0</v>
      </c>
      <c r="G41" s="739">
        <v>0</v>
      </c>
      <c r="H41" s="739">
        <v>0</v>
      </c>
      <c r="I41" s="739">
        <v>0</v>
      </c>
      <c r="J41" s="739">
        <v>0</v>
      </c>
      <c r="K41" s="200"/>
      <c r="L41" s="201" t="s">
        <v>181</v>
      </c>
      <c r="M41" s="199"/>
      <c r="N41" s="199"/>
      <c r="O41" s="199"/>
      <c r="P41" s="199"/>
      <c r="Q41" s="89"/>
      <c r="R41" s="90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</row>
    <row r="42" spans="1:29" ht="60.95" customHeight="1" x14ac:dyDescent="0.2">
      <c r="A42" s="193" t="s">
        <v>182</v>
      </c>
      <c r="B42" s="148" t="s">
        <v>183</v>
      </c>
      <c r="C42" s="733">
        <v>18.2</v>
      </c>
      <c r="D42" s="733">
        <v>0</v>
      </c>
      <c r="E42" s="733">
        <v>0</v>
      </c>
      <c r="F42" s="225">
        <f>SUM(G42:J42)</f>
        <v>0</v>
      </c>
      <c r="G42" s="755">
        <v>0</v>
      </c>
      <c r="H42" s="739">
        <v>0</v>
      </c>
      <c r="I42" s="739">
        <v>0</v>
      </c>
      <c r="J42" s="739">
        <v>0</v>
      </c>
      <c r="K42" s="196"/>
      <c r="L42" s="202" t="s">
        <v>184</v>
      </c>
      <c r="M42" s="199"/>
      <c r="N42" s="199"/>
      <c r="O42" s="199"/>
      <c r="P42" s="199"/>
      <c r="Q42" s="89"/>
      <c r="R42" s="90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</row>
    <row r="43" spans="1:29" ht="48.4" customHeight="1" x14ac:dyDescent="0.2">
      <c r="A43" s="193" t="s">
        <v>185</v>
      </c>
      <c r="B43" s="148" t="s">
        <v>186</v>
      </c>
      <c r="C43" s="733">
        <v>0</v>
      </c>
      <c r="D43" s="733">
        <v>0</v>
      </c>
      <c r="E43" s="733">
        <v>0</v>
      </c>
      <c r="F43" s="225">
        <f>SUM(G43:J43)</f>
        <v>0</v>
      </c>
      <c r="G43" s="755"/>
      <c r="H43" s="739">
        <v>0</v>
      </c>
      <c r="I43" s="739">
        <v>0</v>
      </c>
      <c r="J43" s="739">
        <v>0</v>
      </c>
      <c r="K43" s="203"/>
      <c r="L43" s="202"/>
      <c r="M43" s="199"/>
      <c r="N43" s="199"/>
      <c r="O43" s="199"/>
      <c r="P43" s="199"/>
      <c r="Q43" s="89"/>
      <c r="R43" s="90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</row>
    <row r="44" spans="1:29" ht="64.900000000000006" customHeight="1" x14ac:dyDescent="0.2">
      <c r="A44" s="204" t="s">
        <v>187</v>
      </c>
      <c r="B44" s="205" t="s">
        <v>188</v>
      </c>
      <c r="C44" s="737">
        <f>C6-C15</f>
        <v>-324.30000000000018</v>
      </c>
      <c r="D44" s="139">
        <f>ROUND(D6+D15,2)</f>
        <v>0</v>
      </c>
      <c r="E44" s="139">
        <f>ROUND(E6+E15,2)</f>
        <v>0</v>
      </c>
      <c r="F44" s="81">
        <f>ROUND(F6+F15,1)</f>
        <v>0</v>
      </c>
      <c r="G44" s="139">
        <f>G6+G15</f>
        <v>0</v>
      </c>
      <c r="H44" s="139">
        <f>H6+H15</f>
        <v>0</v>
      </c>
      <c r="I44" s="139">
        <f>I6+I15</f>
        <v>0</v>
      </c>
      <c r="J44" s="139">
        <f>J6+J15</f>
        <v>0</v>
      </c>
      <c r="K44" s="206"/>
      <c r="L44" s="174"/>
      <c r="M44" s="174"/>
      <c r="N44" s="164"/>
      <c r="O44" s="164"/>
      <c r="P44" s="89"/>
      <c r="Q44" s="89"/>
      <c r="R44" s="90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</row>
    <row r="45" spans="1:29" ht="69.95" customHeight="1" x14ac:dyDescent="0.2">
      <c r="A45" s="138" t="s">
        <v>189</v>
      </c>
      <c r="B45" s="205" t="s">
        <v>190</v>
      </c>
      <c r="C45" s="737">
        <f>C46+C47+C48+C49+C50</f>
        <v>5394.8</v>
      </c>
      <c r="D45" s="737">
        <f>D52</f>
        <v>6549.7</v>
      </c>
      <c r="E45" s="737">
        <f>E52</f>
        <v>6549.7</v>
      </c>
      <c r="F45" s="81">
        <f>G45+H45+I45+J45</f>
        <v>7193.8</v>
      </c>
      <c r="G45" s="139">
        <f>G46+G52</f>
        <v>1697.7</v>
      </c>
      <c r="H45" s="139">
        <f t="shared" ref="H45:J45" si="2">H46+H52</f>
        <v>1959.6</v>
      </c>
      <c r="I45" s="139">
        <f t="shared" si="2"/>
        <v>1876.5</v>
      </c>
      <c r="J45" s="139">
        <f t="shared" si="2"/>
        <v>1660</v>
      </c>
      <c r="K45" s="207"/>
      <c r="L45" s="142"/>
      <c r="M45" s="142"/>
      <c r="N45" s="164"/>
      <c r="O45" s="164"/>
      <c r="P45" s="89"/>
      <c r="Q45" s="89"/>
      <c r="R45" s="90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</row>
    <row r="46" spans="1:29" ht="36.950000000000003" customHeight="1" x14ac:dyDescent="0.4">
      <c r="A46" s="162" t="s">
        <v>191</v>
      </c>
      <c r="B46" s="104" t="s">
        <v>192</v>
      </c>
      <c r="C46" s="720"/>
      <c r="D46" s="734">
        <v>0</v>
      </c>
      <c r="E46" s="102">
        <v>0</v>
      </c>
      <c r="F46" s="81">
        <f>ROUND(SUM(G46:J46),1)</f>
        <v>0</v>
      </c>
      <c r="G46" s="102">
        <v>0</v>
      </c>
      <c r="H46" s="102">
        <v>0</v>
      </c>
      <c r="I46" s="102">
        <v>0</v>
      </c>
      <c r="J46" s="102">
        <v>0</v>
      </c>
      <c r="K46" s="208"/>
      <c r="L46" s="209" t="s">
        <v>193</v>
      </c>
      <c r="M46" s="142"/>
      <c r="N46" s="164"/>
      <c r="O46" s="164"/>
      <c r="P46" s="74"/>
      <c r="Q46" s="74"/>
      <c r="R46" s="75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</row>
    <row r="47" spans="1:29" ht="122.25" customHeight="1" x14ac:dyDescent="0.25">
      <c r="A47" s="678" t="s">
        <v>194</v>
      </c>
      <c r="B47" s="210" t="s">
        <v>195</v>
      </c>
      <c r="C47" s="739">
        <v>5374.8</v>
      </c>
      <c r="D47" s="739">
        <v>0</v>
      </c>
      <c r="E47" s="739">
        <v>0</v>
      </c>
      <c r="F47" s="78">
        <f>ROUND(SUM(G47:J47),1)</f>
        <v>0</v>
      </c>
      <c r="G47" s="739"/>
      <c r="H47" s="739"/>
      <c r="I47" s="739"/>
      <c r="J47" s="739"/>
      <c r="K47" s="187"/>
      <c r="L47" s="211"/>
      <c r="M47" s="211"/>
      <c r="N47" s="74"/>
      <c r="O47" s="74"/>
      <c r="P47" s="74"/>
      <c r="Q47" s="74"/>
      <c r="R47" s="75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</row>
    <row r="48" spans="1:29" ht="48" customHeight="1" x14ac:dyDescent="0.25">
      <c r="A48" s="677" t="s">
        <v>198</v>
      </c>
      <c r="B48" s="104" t="s">
        <v>197</v>
      </c>
      <c r="C48" s="733"/>
      <c r="D48" s="733">
        <v>0</v>
      </c>
      <c r="E48" s="733">
        <v>0</v>
      </c>
      <c r="F48" s="81">
        <f>ROUND(SUM(G48:J48),1)</f>
        <v>0</v>
      </c>
      <c r="G48" s="775"/>
      <c r="H48" s="775"/>
      <c r="I48" s="775" t="s">
        <v>341</v>
      </c>
      <c r="J48" s="775"/>
      <c r="K48" s="103"/>
      <c r="L48" s="142"/>
      <c r="M48" s="142"/>
      <c r="N48" s="74"/>
      <c r="O48" s="74"/>
      <c r="P48" s="74"/>
      <c r="Q48" s="74"/>
      <c r="R48" s="75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</row>
    <row r="49" spans="1:29" ht="70.5" customHeight="1" x14ac:dyDescent="0.25">
      <c r="A49" s="738" t="s">
        <v>874</v>
      </c>
      <c r="B49" s="104" t="s">
        <v>830</v>
      </c>
      <c r="C49" s="733">
        <v>10.9</v>
      </c>
      <c r="D49" s="733"/>
      <c r="E49" s="733"/>
      <c r="F49" s="81"/>
      <c r="G49" s="775"/>
      <c r="H49" s="775"/>
      <c r="I49" s="775"/>
      <c r="J49" s="775"/>
      <c r="K49" s="103"/>
      <c r="L49" s="142"/>
      <c r="M49" s="142"/>
      <c r="N49" s="74"/>
      <c r="O49" s="74"/>
      <c r="P49" s="74"/>
      <c r="Q49" s="74"/>
      <c r="R49" s="75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</row>
    <row r="50" spans="1:29" ht="50.25" customHeight="1" x14ac:dyDescent="0.45">
      <c r="A50" s="214" t="s">
        <v>875</v>
      </c>
      <c r="B50" s="104" t="s">
        <v>831</v>
      </c>
      <c r="C50" s="733">
        <v>9.1</v>
      </c>
      <c r="D50" s="102">
        <v>0</v>
      </c>
      <c r="E50" s="102">
        <v>0</v>
      </c>
      <c r="F50" s="81">
        <f>ROUND(SUM(G50:J50),1)</f>
        <v>0</v>
      </c>
      <c r="G50" s="771">
        <v>0</v>
      </c>
      <c r="H50" s="771">
        <v>0</v>
      </c>
      <c r="I50" s="771">
        <v>0</v>
      </c>
      <c r="J50" s="774">
        <v>0</v>
      </c>
      <c r="K50" s="187"/>
      <c r="L50" s="213"/>
      <c r="M50" s="213"/>
      <c r="N50" s="74"/>
      <c r="O50" s="74"/>
      <c r="P50" s="74"/>
      <c r="Q50" s="74"/>
      <c r="R50" s="75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</row>
    <row r="51" spans="1:29" ht="70.5" customHeight="1" x14ac:dyDescent="0.45">
      <c r="A51" s="214" t="s">
        <v>829</v>
      </c>
      <c r="B51" s="104" t="s">
        <v>876</v>
      </c>
      <c r="C51" s="733">
        <v>0</v>
      </c>
      <c r="D51" s="102">
        <v>0</v>
      </c>
      <c r="E51" s="102">
        <v>0</v>
      </c>
      <c r="F51" s="81"/>
      <c r="G51" s="771"/>
      <c r="H51" s="771"/>
      <c r="I51" s="771"/>
      <c r="J51" s="774"/>
      <c r="K51" s="187"/>
      <c r="L51" s="213"/>
      <c r="M51" s="213"/>
      <c r="N51" s="74"/>
      <c r="O51" s="74"/>
      <c r="P51" s="74"/>
      <c r="Q51" s="74"/>
      <c r="R51" s="75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</row>
    <row r="52" spans="1:29" ht="108" customHeight="1" x14ac:dyDescent="0.35">
      <c r="A52" s="679" t="s">
        <v>196</v>
      </c>
      <c r="B52" s="215">
        <v>1033</v>
      </c>
      <c r="C52" s="102">
        <v>0</v>
      </c>
      <c r="D52" s="102">
        <v>6549.7</v>
      </c>
      <c r="E52" s="102">
        <v>6549.7</v>
      </c>
      <c r="F52" s="81">
        <f>ROUND(SUM(G52:J52),1)</f>
        <v>7193.8</v>
      </c>
      <c r="G52" s="102">
        <v>1697.7</v>
      </c>
      <c r="H52" s="102">
        <v>1959.6</v>
      </c>
      <c r="I52" s="102">
        <v>1876.5</v>
      </c>
      <c r="J52" s="102">
        <v>1660</v>
      </c>
      <c r="K52" s="187"/>
      <c r="L52" s="213"/>
      <c r="M52" s="213"/>
      <c r="N52" s="74"/>
      <c r="O52" s="74"/>
      <c r="P52" s="74"/>
      <c r="Q52" s="74"/>
      <c r="R52" s="75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</row>
    <row r="53" spans="1:29" ht="65.099999999999994" customHeight="1" x14ac:dyDescent="0.25">
      <c r="A53" s="138" t="s">
        <v>199</v>
      </c>
      <c r="B53" s="205" t="s">
        <v>200</v>
      </c>
      <c r="C53" s="139">
        <f>ROUND(SUM(C54:C62,C63),2)</f>
        <v>-918.9</v>
      </c>
      <c r="D53" s="139">
        <f>ROUND(SUM(D54:D62,D63),2)</f>
        <v>-866.2</v>
      </c>
      <c r="E53" s="139">
        <f>E54+E55+E56+E57+E58+E59+E60+E61+E62+E63</f>
        <v>-887.8</v>
      </c>
      <c r="F53" s="81">
        <f>F56+F57+F58+F63</f>
        <v>-1012.2</v>
      </c>
      <c r="G53" s="139">
        <f>G54+G55+G56+G57+G58+G59+G60+G61+G62+G63</f>
        <v>-263.5</v>
      </c>
      <c r="H53" s="139">
        <f>SUM(H54:H63)</f>
        <v>-259.59999999999997</v>
      </c>
      <c r="I53" s="139">
        <f>SUM(I54:I63)</f>
        <v>-252.8</v>
      </c>
      <c r="J53" s="139">
        <f>SUM(J54:J63)</f>
        <v>-236.3</v>
      </c>
      <c r="K53" s="161"/>
      <c r="L53" s="213"/>
      <c r="M53" s="213"/>
      <c r="N53" s="74"/>
      <c r="O53" s="74"/>
      <c r="P53" s="74"/>
      <c r="Q53" s="74"/>
      <c r="R53" s="75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</row>
    <row r="54" spans="1:29" ht="43.15" customHeight="1" x14ac:dyDescent="0.25">
      <c r="A54" s="144" t="s">
        <v>201</v>
      </c>
      <c r="B54" s="77" t="s">
        <v>202</v>
      </c>
      <c r="C54" s="102">
        <v>0</v>
      </c>
      <c r="D54" s="102">
        <v>0</v>
      </c>
      <c r="E54" s="102">
        <v>0</v>
      </c>
      <c r="F54" s="81">
        <f t="shared" ref="F54:F61" si="3">ROUND(SUM(G54:J54),1)</f>
        <v>0</v>
      </c>
      <c r="G54" s="102">
        <v>0</v>
      </c>
      <c r="H54" s="102">
        <v>0</v>
      </c>
      <c r="I54" s="102">
        <v>0</v>
      </c>
      <c r="J54" s="102">
        <v>0</v>
      </c>
      <c r="K54" s="216"/>
      <c r="L54" s="213"/>
      <c r="M54" s="213"/>
      <c r="N54" s="74"/>
      <c r="O54" s="74"/>
      <c r="P54" s="74"/>
      <c r="Q54" s="74"/>
      <c r="R54" s="75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</row>
    <row r="55" spans="1:29" ht="45.75" customHeight="1" x14ac:dyDescent="0.25">
      <c r="A55" s="144" t="s">
        <v>203</v>
      </c>
      <c r="B55" s="77" t="s">
        <v>204</v>
      </c>
      <c r="C55" s="733">
        <v>-3.9</v>
      </c>
      <c r="D55" s="733">
        <v>0</v>
      </c>
      <c r="E55" s="733">
        <v>0</v>
      </c>
      <c r="F55" s="81">
        <f t="shared" si="3"/>
        <v>0</v>
      </c>
      <c r="G55" s="739">
        <v>0</v>
      </c>
      <c r="H55" s="102">
        <v>0</v>
      </c>
      <c r="I55" s="102">
        <v>0</v>
      </c>
      <c r="J55" s="102">
        <v>0</v>
      </c>
      <c r="K55" s="217"/>
      <c r="L55" s="213"/>
      <c r="M55" s="213"/>
      <c r="N55" s="74"/>
      <c r="O55" s="74"/>
      <c r="P55" s="74"/>
      <c r="Q55" s="74"/>
      <c r="R55" s="75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</row>
    <row r="56" spans="1:29" ht="64.5" customHeight="1" x14ac:dyDescent="0.25">
      <c r="A56" s="144" t="s">
        <v>133</v>
      </c>
      <c r="B56" s="77" t="s">
        <v>205</v>
      </c>
      <c r="C56" s="733">
        <v>-634.6</v>
      </c>
      <c r="D56" s="733">
        <v>-602.79999999999995</v>
      </c>
      <c r="E56" s="733">
        <v>-602.79999999999995</v>
      </c>
      <c r="F56" s="81">
        <f t="shared" si="3"/>
        <v>-661.1</v>
      </c>
      <c r="G56" s="739">
        <v>-152.6</v>
      </c>
      <c r="H56" s="739">
        <v>-181.1</v>
      </c>
      <c r="I56" s="739">
        <v>-174.9</v>
      </c>
      <c r="J56" s="739">
        <v>-152.5</v>
      </c>
      <c r="K56" s="682" t="s">
        <v>836</v>
      </c>
      <c r="L56" s="218"/>
      <c r="M56" s="142"/>
      <c r="N56" s="74"/>
      <c r="O56" s="74"/>
      <c r="P56" s="74"/>
      <c r="Q56" s="74"/>
      <c r="R56" s="75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</row>
    <row r="57" spans="1:29" ht="65.099999999999994" customHeight="1" x14ac:dyDescent="0.25">
      <c r="A57" s="144" t="s">
        <v>135</v>
      </c>
      <c r="B57" s="77" t="s">
        <v>206</v>
      </c>
      <c r="C57" s="733">
        <v>-133.4</v>
      </c>
      <c r="D57" s="733">
        <v>-132.6</v>
      </c>
      <c r="E57" s="733">
        <v>-132.6</v>
      </c>
      <c r="F57" s="81">
        <f t="shared" si="3"/>
        <v>-145.4</v>
      </c>
      <c r="G57" s="739">
        <v>-33.6</v>
      </c>
      <c r="H57" s="739">
        <v>-39.799999999999997</v>
      </c>
      <c r="I57" s="739">
        <v>-38.5</v>
      </c>
      <c r="J57" s="739">
        <v>-33.5</v>
      </c>
      <c r="K57" s="676"/>
      <c r="L57" s="219"/>
      <c r="M57" s="142"/>
      <c r="N57" s="74"/>
      <c r="O57" s="74"/>
      <c r="P57" s="74"/>
      <c r="Q57" s="74"/>
      <c r="R57" s="75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</row>
    <row r="58" spans="1:29" ht="96.75" customHeight="1" x14ac:dyDescent="0.25">
      <c r="A58" s="144" t="s">
        <v>207</v>
      </c>
      <c r="B58" s="77" t="s">
        <v>208</v>
      </c>
      <c r="C58" s="733">
        <v>-26.1</v>
      </c>
      <c r="D58" s="733">
        <v>0</v>
      </c>
      <c r="E58" s="733">
        <v>-19.600000000000001</v>
      </c>
      <c r="F58" s="754">
        <f t="shared" si="3"/>
        <v>-26.2</v>
      </c>
      <c r="G58" s="739">
        <v>-6.6</v>
      </c>
      <c r="H58" s="739">
        <v>-6.6</v>
      </c>
      <c r="I58" s="739">
        <v>-6.5</v>
      </c>
      <c r="J58" s="739">
        <v>-6.5</v>
      </c>
      <c r="K58" s="203"/>
      <c r="L58" s="220"/>
      <c r="M58" s="142"/>
      <c r="N58" s="74"/>
      <c r="O58" s="74"/>
      <c r="P58" s="74"/>
      <c r="Q58" s="74"/>
      <c r="R58" s="75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</row>
    <row r="59" spans="1:29" ht="60" customHeight="1" x14ac:dyDescent="0.4">
      <c r="A59" s="144" t="s">
        <v>209</v>
      </c>
      <c r="B59" s="77" t="s">
        <v>210</v>
      </c>
      <c r="C59" s="234"/>
      <c r="D59" s="733">
        <v>0</v>
      </c>
      <c r="E59" s="733">
        <v>0</v>
      </c>
      <c r="F59" s="81">
        <f t="shared" si="3"/>
        <v>0</v>
      </c>
      <c r="G59" s="102">
        <v>0</v>
      </c>
      <c r="H59" s="102">
        <v>0</v>
      </c>
      <c r="I59" s="102">
        <v>0</v>
      </c>
      <c r="J59" s="102">
        <v>0</v>
      </c>
      <c r="K59" s="221"/>
      <c r="L59" s="142"/>
      <c r="M59" s="142"/>
      <c r="N59" s="74"/>
      <c r="O59" s="74"/>
      <c r="P59" s="142"/>
      <c r="Q59" s="74"/>
      <c r="R59" s="75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</row>
    <row r="60" spans="1:29" ht="52.5" customHeight="1" x14ac:dyDescent="0.25">
      <c r="A60" s="144" t="s">
        <v>211</v>
      </c>
      <c r="B60" s="77" t="s">
        <v>212</v>
      </c>
      <c r="C60" s="234">
        <v>0</v>
      </c>
      <c r="D60" s="102">
        <v>0</v>
      </c>
      <c r="E60" s="102">
        <v>0</v>
      </c>
      <c r="F60" s="81">
        <f t="shared" si="3"/>
        <v>0</v>
      </c>
      <c r="G60" s="102">
        <v>0</v>
      </c>
      <c r="H60" s="102">
        <v>0</v>
      </c>
      <c r="I60" s="102">
        <v>0</v>
      </c>
      <c r="J60" s="102">
        <v>0</v>
      </c>
      <c r="K60" s="103"/>
      <c r="L60" s="142"/>
      <c r="M60" s="142"/>
      <c r="N60" s="74"/>
      <c r="O60" s="74"/>
      <c r="P60" s="142"/>
      <c r="Q60" s="74"/>
      <c r="R60" s="75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</row>
    <row r="61" spans="1:29" ht="65.25" customHeight="1" x14ac:dyDescent="0.25">
      <c r="A61" s="144" t="s">
        <v>213</v>
      </c>
      <c r="B61" s="77" t="s">
        <v>214</v>
      </c>
      <c r="C61" s="234"/>
      <c r="D61" s="733">
        <v>0</v>
      </c>
      <c r="E61" s="733">
        <v>0</v>
      </c>
      <c r="F61" s="81">
        <f t="shared" si="3"/>
        <v>0</v>
      </c>
      <c r="G61" s="739">
        <v>0</v>
      </c>
      <c r="H61" s="102">
        <v>0</v>
      </c>
      <c r="I61" s="102">
        <v>0</v>
      </c>
      <c r="J61" s="102">
        <v>0</v>
      </c>
      <c r="K61" s="103"/>
      <c r="L61" s="142"/>
      <c r="M61" s="142"/>
      <c r="N61" s="74"/>
      <c r="O61" s="74"/>
      <c r="P61" s="142"/>
      <c r="Q61" s="74"/>
      <c r="R61" s="75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</row>
    <row r="62" spans="1:29" ht="57" customHeight="1" x14ac:dyDescent="0.25">
      <c r="A62" s="144" t="s">
        <v>215</v>
      </c>
      <c r="B62" s="77" t="s">
        <v>216</v>
      </c>
      <c r="C62" s="234"/>
      <c r="D62" s="742">
        <v>0</v>
      </c>
      <c r="E62" s="742">
        <v>0</v>
      </c>
      <c r="F62" s="81">
        <f>G62+H62+I62+J62</f>
        <v>0</v>
      </c>
      <c r="G62" s="739">
        <v>0</v>
      </c>
      <c r="H62" s="102">
        <v>0</v>
      </c>
      <c r="I62" s="102">
        <v>0</v>
      </c>
      <c r="J62" s="102">
        <v>0</v>
      </c>
      <c r="K62" s="191"/>
      <c r="L62" s="96"/>
      <c r="M62" s="211"/>
      <c r="N62" s="74"/>
      <c r="O62" s="74"/>
      <c r="P62" s="74"/>
      <c r="Q62" s="74"/>
      <c r="R62" s="75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</row>
    <row r="63" spans="1:29" ht="72" customHeight="1" x14ac:dyDescent="0.25">
      <c r="A63" s="138" t="s">
        <v>217</v>
      </c>
      <c r="B63" s="205" t="s">
        <v>218</v>
      </c>
      <c r="C63" s="737">
        <f>SUM(C64:C78)</f>
        <v>-120.89999999999999</v>
      </c>
      <c r="D63" s="737">
        <f>SUM(D64:D78)</f>
        <v>-130.80000000000001</v>
      </c>
      <c r="E63" s="737">
        <f>SUM(E64:E78)</f>
        <v>-132.80000000000001</v>
      </c>
      <c r="F63" s="81">
        <f>F64+F65+F66+F67+F68+F69+F70+F71+F72+F73+F74+F75+F76+F77+F78</f>
        <v>-179.5</v>
      </c>
      <c r="G63" s="139">
        <f>SUM(G64:G79)</f>
        <v>-70.7</v>
      </c>
      <c r="H63" s="139">
        <f>SUM(H64:H79)</f>
        <v>-32.099999999999994</v>
      </c>
      <c r="I63" s="139">
        <f>SUM(I64:I79)</f>
        <v>-32.9</v>
      </c>
      <c r="J63" s="139">
        <f>SUM(J64:J79)</f>
        <v>-43.8</v>
      </c>
      <c r="K63" s="95"/>
      <c r="L63" s="211"/>
      <c r="M63" s="211"/>
      <c r="N63" s="74"/>
      <c r="O63" s="74"/>
      <c r="P63" s="74"/>
      <c r="Q63" s="74"/>
      <c r="R63" s="75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</row>
    <row r="64" spans="1:29" ht="69" customHeight="1" x14ac:dyDescent="0.25">
      <c r="A64" s="144" t="s">
        <v>886</v>
      </c>
      <c r="B64" s="222" t="s">
        <v>219</v>
      </c>
      <c r="C64" s="721"/>
      <c r="D64" s="757">
        <v>-3.3</v>
      </c>
      <c r="E64" s="757">
        <v>-3.3</v>
      </c>
      <c r="F64" s="81">
        <f>ROUND(SUM(G64:J64),1)</f>
        <v>-4</v>
      </c>
      <c r="G64" s="739">
        <v>-1</v>
      </c>
      <c r="H64" s="739">
        <v>-1</v>
      </c>
      <c r="I64" s="739">
        <v>-1</v>
      </c>
      <c r="J64" s="739">
        <v>-1</v>
      </c>
      <c r="K64" s="103" t="s">
        <v>883</v>
      </c>
      <c r="L64" s="142"/>
      <c r="M64" s="142"/>
      <c r="N64" s="74"/>
      <c r="O64" s="74"/>
      <c r="P64" s="74"/>
      <c r="Q64" s="74"/>
      <c r="R64" s="75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</row>
    <row r="65" spans="1:29" ht="59.25" customHeight="1" x14ac:dyDescent="0.25">
      <c r="A65" s="223" t="s">
        <v>163</v>
      </c>
      <c r="B65" s="222" t="s">
        <v>220</v>
      </c>
      <c r="C65" s="722"/>
      <c r="D65" s="755">
        <v>-2.4</v>
      </c>
      <c r="E65" s="755">
        <v>-2.4</v>
      </c>
      <c r="F65" s="81">
        <f>ROUND(SUM(G65:J65),1)</f>
        <v>-2.8</v>
      </c>
      <c r="G65" s="733">
        <v>-0.7</v>
      </c>
      <c r="H65" s="733">
        <v>-0.7</v>
      </c>
      <c r="I65" s="733">
        <v>-0.7</v>
      </c>
      <c r="J65" s="733">
        <v>-0.7</v>
      </c>
      <c r="K65" s="80"/>
      <c r="L65" s="224"/>
      <c r="M65" s="142"/>
      <c r="N65" s="74"/>
      <c r="O65" s="74"/>
      <c r="P65" s="74"/>
      <c r="Q65" s="74"/>
      <c r="R65" s="75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</row>
    <row r="66" spans="1:29" ht="53.45" customHeight="1" x14ac:dyDescent="0.25">
      <c r="A66" s="223" t="s">
        <v>221</v>
      </c>
      <c r="B66" s="222" t="s">
        <v>222</v>
      </c>
      <c r="C66" s="740">
        <v>-17.8</v>
      </c>
      <c r="D66" s="740">
        <v>-6</v>
      </c>
      <c r="E66" s="740">
        <v>-6</v>
      </c>
      <c r="F66" s="225">
        <f>ROUND(SUM(G66:J66),1)</f>
        <v>-6</v>
      </c>
      <c r="G66" s="742">
        <v>-1.5</v>
      </c>
      <c r="H66" s="742">
        <v>-1.5</v>
      </c>
      <c r="I66" s="742">
        <v>-1.5</v>
      </c>
      <c r="J66" s="742">
        <v>-1.5</v>
      </c>
      <c r="K66" s="226"/>
      <c r="L66" s="142"/>
      <c r="M66" s="142"/>
      <c r="N66" s="74"/>
      <c r="O66" s="74"/>
      <c r="P66" s="74"/>
      <c r="Q66" s="74"/>
      <c r="R66" s="75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</row>
    <row r="67" spans="1:29" ht="63.75" customHeight="1" x14ac:dyDescent="0.25">
      <c r="A67" s="223" t="s">
        <v>223</v>
      </c>
      <c r="B67" s="222" t="s">
        <v>224</v>
      </c>
      <c r="C67" s="740">
        <v>0</v>
      </c>
      <c r="D67" s="741">
        <v>0</v>
      </c>
      <c r="E67" s="741">
        <v>0</v>
      </c>
      <c r="F67" s="225">
        <f>ROUND(SUM(G67:J67),1)</f>
        <v>0</v>
      </c>
      <c r="G67" s="739">
        <v>0</v>
      </c>
      <c r="H67" s="739">
        <v>0</v>
      </c>
      <c r="I67" s="739">
        <v>0</v>
      </c>
      <c r="J67" s="739">
        <v>0</v>
      </c>
      <c r="K67" s="226"/>
      <c r="L67" s="142"/>
      <c r="M67" s="142"/>
      <c r="N67" s="227"/>
      <c r="O67" s="227"/>
      <c r="P67" s="227"/>
      <c r="Q67" s="227"/>
      <c r="R67" s="75"/>
      <c r="S67" s="227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</row>
    <row r="68" spans="1:29" ht="70.5" customHeight="1" x14ac:dyDescent="0.25">
      <c r="A68" s="223" t="s">
        <v>889</v>
      </c>
      <c r="B68" s="222" t="s">
        <v>225</v>
      </c>
      <c r="C68" s="234"/>
      <c r="D68" s="733">
        <v>-12</v>
      </c>
      <c r="E68" s="733">
        <v>-12</v>
      </c>
      <c r="F68" s="225">
        <f>G68+H68+I68+J68</f>
        <v>-13.2</v>
      </c>
      <c r="G68" s="733">
        <v>-3.3</v>
      </c>
      <c r="H68" s="733">
        <v>-3.3</v>
      </c>
      <c r="I68" s="733">
        <v>-3.3</v>
      </c>
      <c r="J68" s="733">
        <v>-3.3</v>
      </c>
      <c r="K68" s="103"/>
      <c r="L68" s="142"/>
      <c r="M68" s="142"/>
      <c r="N68" s="227"/>
      <c r="O68" s="227"/>
      <c r="P68" s="227"/>
      <c r="Q68" s="227"/>
      <c r="R68" s="75"/>
      <c r="S68" s="227"/>
      <c r="T68" s="227"/>
      <c r="U68" s="227"/>
      <c r="V68" s="227"/>
      <c r="W68" s="227"/>
      <c r="X68" s="227"/>
      <c r="Y68" s="227"/>
      <c r="Z68" s="227"/>
      <c r="AA68" s="227"/>
      <c r="AB68" s="227"/>
      <c r="AC68" s="227"/>
    </row>
    <row r="69" spans="1:29" ht="84" customHeight="1" x14ac:dyDescent="0.25">
      <c r="A69" s="223" t="s">
        <v>226</v>
      </c>
      <c r="B69" s="222" t="s">
        <v>227</v>
      </c>
      <c r="C69" s="740">
        <v>-2.8</v>
      </c>
      <c r="D69" s="740">
        <v>-13.3</v>
      </c>
      <c r="E69" s="740">
        <v>-13.3</v>
      </c>
      <c r="F69" s="225">
        <f>G69+H69+I69+J69</f>
        <v>-15.7</v>
      </c>
      <c r="G69" s="733">
        <v>-15.7</v>
      </c>
      <c r="H69" s="733"/>
      <c r="I69" s="234"/>
      <c r="J69" s="234"/>
      <c r="K69" s="191" t="s">
        <v>901</v>
      </c>
      <c r="L69" s="142"/>
      <c r="M69" s="142"/>
      <c r="N69" s="227"/>
      <c r="O69" s="227"/>
      <c r="P69" s="227"/>
      <c r="Q69" s="227"/>
      <c r="R69" s="75"/>
      <c r="S69" s="227"/>
      <c r="T69" s="227"/>
      <c r="U69" s="227"/>
      <c r="V69" s="227"/>
      <c r="W69" s="227"/>
      <c r="X69" s="227"/>
      <c r="Y69" s="227"/>
      <c r="Z69" s="227"/>
      <c r="AA69" s="227"/>
      <c r="AB69" s="227"/>
      <c r="AC69" s="227"/>
    </row>
    <row r="70" spans="1:29" ht="105.75" customHeight="1" x14ac:dyDescent="0.25">
      <c r="A70" s="223" t="s">
        <v>182</v>
      </c>
      <c r="B70" s="222" t="s">
        <v>228</v>
      </c>
      <c r="C70" s="733">
        <v>-44.6</v>
      </c>
      <c r="D70" s="733">
        <v>-32.200000000000003</v>
      </c>
      <c r="E70" s="733">
        <v>-32.200000000000003</v>
      </c>
      <c r="F70" s="225">
        <f>G70+H70+I70+J70</f>
        <v>-35.799999999999997</v>
      </c>
      <c r="G70" s="739">
        <v>-15.2</v>
      </c>
      <c r="H70" s="739">
        <v>-2.7</v>
      </c>
      <c r="I70" s="739">
        <v>-2.7</v>
      </c>
      <c r="J70" s="739">
        <v>-15.2</v>
      </c>
      <c r="K70" s="196" t="s">
        <v>905</v>
      </c>
      <c r="L70" s="6"/>
      <c r="M70" s="142"/>
      <c r="N70" s="227"/>
      <c r="O70" s="227"/>
      <c r="P70" s="227"/>
      <c r="Q70" s="227"/>
      <c r="R70" s="75"/>
      <c r="S70" s="227"/>
      <c r="T70" s="227"/>
      <c r="U70" s="227"/>
      <c r="V70" s="227"/>
      <c r="W70" s="227"/>
      <c r="X70" s="227"/>
      <c r="Y70" s="227"/>
      <c r="Z70" s="227"/>
      <c r="AA70" s="227"/>
      <c r="AB70" s="227"/>
      <c r="AC70" s="227"/>
    </row>
    <row r="71" spans="1:29" ht="55.5" customHeight="1" x14ac:dyDescent="0.2">
      <c r="A71" s="144" t="s">
        <v>229</v>
      </c>
      <c r="B71" s="222" t="s">
        <v>230</v>
      </c>
      <c r="C71" s="741">
        <v>-15</v>
      </c>
      <c r="D71" s="733">
        <v>0</v>
      </c>
      <c r="E71" s="733">
        <v>0</v>
      </c>
      <c r="F71" s="225">
        <f>G71+H71+I71+J71</f>
        <v>0</v>
      </c>
      <c r="G71" s="719"/>
      <c r="H71" s="719"/>
      <c r="I71" s="719"/>
      <c r="J71" s="719"/>
      <c r="K71" s="196"/>
      <c r="L71" s="228"/>
      <c r="M71" s="228"/>
      <c r="N71" s="89"/>
      <c r="O71" s="89"/>
      <c r="P71" s="89"/>
      <c r="Q71" s="89"/>
      <c r="R71" s="90"/>
      <c r="S71" s="89"/>
      <c r="T71" s="89"/>
      <c r="U71" s="89"/>
      <c r="V71" s="89"/>
      <c r="W71" s="89"/>
      <c r="X71" s="89"/>
      <c r="Y71" s="89"/>
      <c r="Z71" s="89"/>
      <c r="AA71" s="89"/>
      <c r="AB71" s="89"/>
      <c r="AC71" s="89"/>
    </row>
    <row r="72" spans="1:29" ht="75" customHeight="1" x14ac:dyDescent="0.25">
      <c r="A72" s="223" t="s">
        <v>231</v>
      </c>
      <c r="B72" s="222" t="s">
        <v>232</v>
      </c>
      <c r="C72" s="741">
        <v>0</v>
      </c>
      <c r="D72" s="741">
        <v>-21.6</v>
      </c>
      <c r="E72" s="741">
        <v>-21.6</v>
      </c>
      <c r="F72" s="225">
        <f>ROUND(SUM(G72:J72),1)</f>
        <v>-28.4</v>
      </c>
      <c r="G72" s="739">
        <v>-7.1</v>
      </c>
      <c r="H72" s="739">
        <v>-7.1</v>
      </c>
      <c r="I72" s="739">
        <v>-7.1</v>
      </c>
      <c r="J72" s="739">
        <v>-7.1</v>
      </c>
      <c r="K72" s="191" t="s">
        <v>882</v>
      </c>
      <c r="L72" s="142"/>
      <c r="M72" s="142"/>
      <c r="N72" s="227"/>
      <c r="O72" s="227"/>
      <c r="P72" s="227"/>
      <c r="Q72" s="227"/>
      <c r="R72" s="75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</row>
    <row r="73" spans="1:29" ht="88.5" customHeight="1" x14ac:dyDescent="0.25">
      <c r="A73" s="144" t="s">
        <v>828</v>
      </c>
      <c r="B73" s="222" t="s">
        <v>233</v>
      </c>
      <c r="C73" s="742">
        <v>0</v>
      </c>
      <c r="D73" s="102">
        <v>0</v>
      </c>
      <c r="E73" s="102">
        <v>0</v>
      </c>
      <c r="F73" s="225">
        <f t="shared" ref="F73:F79" si="4">SUM(G73:J73)</f>
        <v>0</v>
      </c>
      <c r="G73" s="739"/>
      <c r="H73" s="739"/>
      <c r="I73" s="739"/>
      <c r="J73" s="739"/>
      <c r="K73" s="191"/>
      <c r="L73" s="142"/>
      <c r="M73" s="142"/>
      <c r="N73" s="227"/>
      <c r="O73" s="227"/>
      <c r="P73" s="227"/>
      <c r="Q73" s="227"/>
      <c r="R73" s="75"/>
      <c r="S73" s="227"/>
      <c r="T73" s="227"/>
      <c r="U73" s="227"/>
      <c r="V73" s="227"/>
      <c r="W73" s="227"/>
      <c r="X73" s="227"/>
      <c r="Y73" s="227"/>
      <c r="Z73" s="227"/>
      <c r="AA73" s="227"/>
      <c r="AB73" s="227"/>
      <c r="AC73" s="227"/>
    </row>
    <row r="74" spans="1:29" ht="76.5" customHeight="1" x14ac:dyDescent="0.25">
      <c r="A74" s="144" t="s">
        <v>899</v>
      </c>
      <c r="B74" s="222" t="s">
        <v>832</v>
      </c>
      <c r="C74" s="742"/>
      <c r="D74" s="740">
        <v>0</v>
      </c>
      <c r="E74" s="740">
        <v>0</v>
      </c>
      <c r="F74" s="225">
        <f t="shared" si="4"/>
        <v>-8.1999999999999993</v>
      </c>
      <c r="G74" s="742">
        <v>-8.1999999999999993</v>
      </c>
      <c r="H74" s="739"/>
      <c r="I74" s="739"/>
      <c r="J74" s="739"/>
      <c r="K74" s="191" t="s">
        <v>895</v>
      </c>
      <c r="L74" s="142"/>
      <c r="M74" s="142"/>
      <c r="N74" s="227"/>
      <c r="O74" s="227"/>
      <c r="P74" s="227"/>
      <c r="Q74" s="227"/>
      <c r="R74" s="75"/>
      <c r="S74" s="227"/>
      <c r="T74" s="227"/>
      <c r="U74" s="227"/>
      <c r="V74" s="227"/>
      <c r="W74" s="227"/>
      <c r="X74" s="227"/>
      <c r="Y74" s="227"/>
      <c r="Z74" s="227"/>
      <c r="AA74" s="227"/>
      <c r="AB74" s="227"/>
      <c r="AC74" s="227"/>
    </row>
    <row r="75" spans="1:29" ht="64.5" customHeight="1" x14ac:dyDescent="0.25">
      <c r="A75" s="144" t="s">
        <v>161</v>
      </c>
      <c r="B75" s="680" t="s">
        <v>234</v>
      </c>
      <c r="C75" s="742">
        <v>-15.1</v>
      </c>
      <c r="D75" s="742">
        <v>0</v>
      </c>
      <c r="E75" s="742">
        <v>0</v>
      </c>
      <c r="F75" s="225">
        <f t="shared" si="4"/>
        <v>0</v>
      </c>
      <c r="G75" s="742">
        <v>0</v>
      </c>
      <c r="H75" s="739">
        <v>0</v>
      </c>
      <c r="I75" s="739">
        <v>0</v>
      </c>
      <c r="J75" s="739">
        <v>0</v>
      </c>
      <c r="K75" s="191"/>
      <c r="L75" s="229"/>
      <c r="M75" s="229"/>
      <c r="N75" s="227"/>
      <c r="O75" s="227"/>
      <c r="P75" s="227"/>
      <c r="Q75" s="227"/>
      <c r="R75" s="75"/>
      <c r="S75" s="227"/>
      <c r="T75" s="227"/>
      <c r="U75" s="227"/>
      <c r="V75" s="227"/>
      <c r="W75" s="227"/>
      <c r="X75" s="227"/>
      <c r="Y75" s="227"/>
      <c r="Z75" s="227"/>
      <c r="AA75" s="227"/>
      <c r="AB75" s="227"/>
      <c r="AC75" s="227"/>
    </row>
    <row r="76" spans="1:29" ht="76.5" customHeight="1" x14ac:dyDescent="0.25">
      <c r="A76" s="144" t="s">
        <v>236</v>
      </c>
      <c r="B76" s="680" t="s">
        <v>235</v>
      </c>
      <c r="C76" s="742">
        <v>-24.8</v>
      </c>
      <c r="D76" s="741">
        <v>-36.799999999999997</v>
      </c>
      <c r="E76" s="741">
        <v>-36.799999999999997</v>
      </c>
      <c r="F76" s="225">
        <f t="shared" si="4"/>
        <v>-60</v>
      </c>
      <c r="G76" s="772">
        <v>-15</v>
      </c>
      <c r="H76" s="772">
        <v>-15</v>
      </c>
      <c r="I76" s="772">
        <v>-15</v>
      </c>
      <c r="J76" s="772">
        <v>-15</v>
      </c>
      <c r="K76" s="191" t="s">
        <v>900</v>
      </c>
      <c r="L76" s="142"/>
      <c r="M76" s="142"/>
      <c r="N76" s="227"/>
      <c r="O76" s="227"/>
      <c r="P76" s="227"/>
      <c r="Q76" s="227"/>
      <c r="R76" s="75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</row>
    <row r="77" spans="1:29" ht="54" customHeight="1" x14ac:dyDescent="0.4">
      <c r="A77" s="144" t="s">
        <v>827</v>
      </c>
      <c r="B77" s="680" t="s">
        <v>237</v>
      </c>
      <c r="C77" s="742">
        <v>0</v>
      </c>
      <c r="D77" s="741">
        <v>-3.2</v>
      </c>
      <c r="E77" s="741">
        <v>-3.2</v>
      </c>
      <c r="F77" s="225">
        <f t="shared" si="4"/>
        <v>-3.2</v>
      </c>
      <c r="G77" s="772">
        <v>-0.8</v>
      </c>
      <c r="H77" s="772">
        <v>-0.8</v>
      </c>
      <c r="I77" s="772">
        <v>-1.6</v>
      </c>
      <c r="J77" s="772">
        <v>0</v>
      </c>
      <c r="K77" s="230"/>
      <c r="L77" s="142"/>
      <c r="M77" s="142"/>
      <c r="N77" s="227"/>
      <c r="O77" s="227"/>
      <c r="P77" s="227"/>
      <c r="Q77" s="227"/>
      <c r="R77" s="75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</row>
    <row r="78" spans="1:29" ht="56.25" customHeight="1" x14ac:dyDescent="0.4">
      <c r="A78" s="144" t="s">
        <v>147</v>
      </c>
      <c r="B78" s="680" t="s">
        <v>833</v>
      </c>
      <c r="C78" s="742">
        <v>-0.8</v>
      </c>
      <c r="D78" s="758">
        <v>0</v>
      </c>
      <c r="E78" s="782">
        <v>-2</v>
      </c>
      <c r="F78" s="81">
        <f t="shared" si="4"/>
        <v>-2.2000000000000002</v>
      </c>
      <c r="G78" s="772">
        <v>-2.2000000000000002</v>
      </c>
      <c r="H78" s="772">
        <v>0</v>
      </c>
      <c r="I78" s="772">
        <v>0</v>
      </c>
      <c r="J78" s="772">
        <v>0</v>
      </c>
      <c r="K78" s="230" t="s">
        <v>896</v>
      </c>
      <c r="L78" s="142"/>
      <c r="M78" s="142"/>
      <c r="N78" s="227"/>
      <c r="O78" s="227"/>
      <c r="P78" s="227"/>
      <c r="Q78" s="227"/>
      <c r="R78" s="75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</row>
    <row r="79" spans="1:29" ht="52.5" customHeight="1" x14ac:dyDescent="0.4">
      <c r="A79" s="162" t="s">
        <v>185</v>
      </c>
      <c r="B79" s="680" t="s">
        <v>238</v>
      </c>
      <c r="C79" s="742">
        <v>0</v>
      </c>
      <c r="D79" s="742">
        <v>0</v>
      </c>
      <c r="E79" s="742">
        <v>0</v>
      </c>
      <c r="F79" s="81">
        <f t="shared" si="4"/>
        <v>0</v>
      </c>
      <c r="G79" s="757"/>
      <c r="H79" s="772"/>
      <c r="I79" s="772">
        <v>0</v>
      </c>
      <c r="J79" s="772">
        <v>0</v>
      </c>
      <c r="K79" s="230"/>
      <c r="L79" s="142"/>
      <c r="M79" s="142"/>
      <c r="N79" s="227"/>
      <c r="O79" s="227"/>
      <c r="P79" s="227"/>
      <c r="Q79" s="227"/>
      <c r="R79" s="75"/>
      <c r="S79" s="227"/>
      <c r="T79" s="227"/>
      <c r="U79" s="227"/>
      <c r="V79" s="227"/>
      <c r="W79" s="227"/>
      <c r="X79" s="227"/>
      <c r="Y79" s="227"/>
      <c r="Z79" s="227"/>
      <c r="AA79" s="227"/>
      <c r="AB79" s="227"/>
      <c r="AC79" s="227"/>
    </row>
    <row r="80" spans="1:29" ht="36.950000000000003" customHeight="1" x14ac:dyDescent="0.25">
      <c r="A80" s="138" t="s">
        <v>239</v>
      </c>
      <c r="B80" s="231" t="s">
        <v>240</v>
      </c>
      <c r="C80" s="743">
        <f>C81+C82+C83</f>
        <v>0</v>
      </c>
      <c r="D80" s="743">
        <f>ROUND(SUM(D81:D83),1)</f>
        <v>0</v>
      </c>
      <c r="E80" s="743">
        <f>ROUND(SUM(E81:E83),1)</f>
        <v>0</v>
      </c>
      <c r="F80" s="81">
        <f>SUM(F81:F83)</f>
        <v>0</v>
      </c>
      <c r="G80" s="743">
        <f>ROUND(SUM(G81:G83),1)</f>
        <v>0</v>
      </c>
      <c r="H80" s="743">
        <f>ROUND(SUM(H81:H83),1)</f>
        <v>0</v>
      </c>
      <c r="I80" s="743">
        <f>ROUND(SUM(I81:I83),1)</f>
        <v>0</v>
      </c>
      <c r="J80" s="743">
        <f>ROUND(SUM(J81:J83),1)</f>
        <v>0</v>
      </c>
      <c r="K80" s="232"/>
      <c r="L80" s="142"/>
      <c r="M80" s="142"/>
      <c r="N80" s="227"/>
      <c r="O80" s="227"/>
      <c r="P80" s="227"/>
      <c r="Q80" s="227"/>
      <c r="R80" s="75"/>
      <c r="S80" s="227"/>
      <c r="T80" s="227"/>
      <c r="U80" s="227"/>
      <c r="V80" s="227"/>
      <c r="W80" s="227"/>
      <c r="X80" s="227"/>
      <c r="Y80" s="227"/>
      <c r="Z80" s="227"/>
      <c r="AA80" s="227"/>
      <c r="AB80" s="227"/>
      <c r="AC80" s="227"/>
    </row>
    <row r="81" spans="1:29" ht="58.5" customHeight="1" x14ac:dyDescent="0.25">
      <c r="A81" s="144" t="s">
        <v>241</v>
      </c>
      <c r="B81" s="77" t="s">
        <v>242</v>
      </c>
      <c r="C81" s="102">
        <v>0</v>
      </c>
      <c r="D81" s="102">
        <v>0</v>
      </c>
      <c r="E81" s="102">
        <v>0</v>
      </c>
      <c r="F81" s="81">
        <f>ROUND(SUM(G81:J81),1)</f>
        <v>0</v>
      </c>
      <c r="G81" s="102">
        <v>0</v>
      </c>
      <c r="H81" s="102">
        <v>0</v>
      </c>
      <c r="I81" s="102">
        <v>0</v>
      </c>
      <c r="J81" s="102">
        <v>0</v>
      </c>
      <c r="K81" s="103"/>
      <c r="L81" s="142"/>
      <c r="M81" s="142"/>
      <c r="N81" s="227"/>
      <c r="O81" s="227"/>
      <c r="P81" s="227"/>
      <c r="Q81" s="227"/>
      <c r="R81" s="75"/>
      <c r="S81" s="227"/>
      <c r="T81" s="227"/>
      <c r="U81" s="227"/>
      <c r="V81" s="227"/>
      <c r="W81" s="227"/>
      <c r="X81" s="227"/>
      <c r="Y81" s="227"/>
      <c r="Z81" s="227"/>
      <c r="AA81" s="227"/>
      <c r="AB81" s="227"/>
      <c r="AC81" s="227"/>
    </row>
    <row r="82" spans="1:29" ht="61.5" customHeight="1" x14ac:dyDescent="0.25">
      <c r="A82" s="144" t="s">
        <v>243</v>
      </c>
      <c r="B82" s="77" t="s">
        <v>244</v>
      </c>
      <c r="C82" s="102">
        <v>0</v>
      </c>
      <c r="D82" s="102">
        <v>0</v>
      </c>
      <c r="E82" s="102">
        <v>0</v>
      </c>
      <c r="F82" s="81">
        <f>ROUND(SUM(G82:J82),1)</f>
        <v>0</v>
      </c>
      <c r="G82" s="102">
        <v>0</v>
      </c>
      <c r="H82" s="102">
        <v>0</v>
      </c>
      <c r="I82" s="102">
        <v>0</v>
      </c>
      <c r="J82" s="102">
        <v>0</v>
      </c>
      <c r="K82" s="103"/>
      <c r="L82" s="142"/>
      <c r="M82" s="142"/>
      <c r="N82" s="227"/>
      <c r="O82" s="227"/>
      <c r="P82" s="227"/>
      <c r="Q82" s="227"/>
      <c r="R82" s="75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</row>
    <row r="83" spans="1:29" ht="75.75" customHeight="1" x14ac:dyDescent="0.25">
      <c r="A83" s="138" t="s">
        <v>245</v>
      </c>
      <c r="B83" s="205" t="s">
        <v>246</v>
      </c>
      <c r="C83" s="742">
        <f>C84</f>
        <v>0</v>
      </c>
      <c r="D83" s="759">
        <f t="shared" ref="D83:J83" si="5">SUM(D84:D84)</f>
        <v>0</v>
      </c>
      <c r="E83" s="759">
        <f t="shared" si="5"/>
        <v>0</v>
      </c>
      <c r="F83" s="81">
        <f t="shared" si="5"/>
        <v>0</v>
      </c>
      <c r="G83" s="759">
        <f t="shared" si="5"/>
        <v>0</v>
      </c>
      <c r="H83" s="759">
        <f t="shared" si="5"/>
        <v>0</v>
      </c>
      <c r="I83" s="759">
        <f t="shared" si="5"/>
        <v>0</v>
      </c>
      <c r="J83" s="759">
        <f t="shared" si="5"/>
        <v>0</v>
      </c>
      <c r="K83" s="233"/>
      <c r="L83" s="142"/>
      <c r="M83" s="142"/>
      <c r="N83" s="227"/>
      <c r="O83" s="227"/>
      <c r="P83" s="227"/>
      <c r="Q83" s="227"/>
      <c r="R83" s="75"/>
      <c r="S83" s="227"/>
      <c r="T83" s="227"/>
      <c r="U83" s="227"/>
      <c r="V83" s="227"/>
      <c r="W83" s="227"/>
      <c r="X83" s="227"/>
      <c r="Y83" s="227"/>
      <c r="Z83" s="227"/>
      <c r="AA83" s="227"/>
      <c r="AB83" s="227"/>
      <c r="AC83" s="227"/>
    </row>
    <row r="84" spans="1:29" s="237" customFormat="1" ht="57.75" customHeight="1" x14ac:dyDescent="0.25">
      <c r="A84" s="144" t="s">
        <v>247</v>
      </c>
      <c r="B84" s="77" t="s">
        <v>248</v>
      </c>
      <c r="C84" s="234"/>
      <c r="D84" s="733">
        <v>0</v>
      </c>
      <c r="E84" s="733"/>
      <c r="F84" s="81">
        <f>SUM(G84:J84)</f>
        <v>0</v>
      </c>
      <c r="G84" s="102">
        <v>0</v>
      </c>
      <c r="H84" s="102">
        <v>0</v>
      </c>
      <c r="I84" s="102">
        <v>0</v>
      </c>
      <c r="J84" s="102">
        <v>0</v>
      </c>
      <c r="K84" s="80"/>
      <c r="L84" s="199"/>
      <c r="M84" s="199"/>
      <c r="N84" s="235"/>
      <c r="O84" s="235"/>
      <c r="P84" s="235"/>
      <c r="Q84" s="235"/>
      <c r="R84" s="236"/>
      <c r="S84" s="235"/>
      <c r="T84" s="235"/>
      <c r="U84" s="235"/>
      <c r="V84" s="235"/>
      <c r="W84" s="235"/>
      <c r="X84" s="235"/>
      <c r="Y84" s="235"/>
      <c r="Z84" s="235"/>
      <c r="AA84" s="235"/>
      <c r="AB84" s="235"/>
      <c r="AC84" s="235"/>
    </row>
    <row r="85" spans="1:29" ht="63" customHeight="1" x14ac:dyDescent="0.25">
      <c r="A85" s="138" t="s">
        <v>249</v>
      </c>
      <c r="B85" s="205" t="s">
        <v>250</v>
      </c>
      <c r="C85" s="737">
        <f>ROUND(SUM(C86:C88),2)</f>
        <v>-5252.2</v>
      </c>
      <c r="D85" s="737">
        <f>D88</f>
        <v>-6055.5</v>
      </c>
      <c r="E85" s="737">
        <f>E88</f>
        <v>-6070.6</v>
      </c>
      <c r="F85" s="81">
        <f>G85+H85+I85+J85</f>
        <v>-6937.0400000000009</v>
      </c>
      <c r="G85" s="737">
        <f>G88+G91</f>
        <v>-1693.6</v>
      </c>
      <c r="H85" s="737">
        <f>H88+H91</f>
        <v>-1868.1000000000001</v>
      </c>
      <c r="I85" s="737">
        <f>I88+I91</f>
        <v>-1767.4</v>
      </c>
      <c r="J85" s="737">
        <f>J88+J91</f>
        <v>-1607.94</v>
      </c>
      <c r="K85" s="238"/>
      <c r="L85" s="142"/>
      <c r="M85" s="142"/>
      <c r="N85" s="74"/>
      <c r="O85" s="74"/>
      <c r="P85" s="74"/>
      <c r="Q85" s="74"/>
      <c r="R85" s="75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</row>
    <row r="86" spans="1:29" ht="46.5" customHeight="1" x14ac:dyDescent="0.25">
      <c r="A86" s="144" t="s">
        <v>251</v>
      </c>
      <c r="B86" s="77" t="s">
        <v>252</v>
      </c>
      <c r="C86" s="102">
        <v>0</v>
      </c>
      <c r="D86" s="102">
        <v>0</v>
      </c>
      <c r="E86" s="102">
        <v>0</v>
      </c>
      <c r="F86" s="81">
        <f>SUM(G86:J86)</f>
        <v>0</v>
      </c>
      <c r="G86" s="102">
        <v>0</v>
      </c>
      <c r="H86" s="102">
        <v>0</v>
      </c>
      <c r="I86" s="102">
        <v>0</v>
      </c>
      <c r="J86" s="102">
        <v>0</v>
      </c>
      <c r="K86" s="103"/>
      <c r="L86" s="211"/>
      <c r="M86" s="211"/>
      <c r="N86" s="74"/>
      <c r="O86" s="74"/>
      <c r="P86" s="74"/>
      <c r="Q86" s="74"/>
      <c r="R86" s="75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</row>
    <row r="87" spans="1:29" ht="72" customHeight="1" x14ac:dyDescent="0.25">
      <c r="A87" s="144" t="s">
        <v>253</v>
      </c>
      <c r="B87" s="77" t="s">
        <v>254</v>
      </c>
      <c r="C87" s="102">
        <v>0</v>
      </c>
      <c r="D87" s="102">
        <v>0</v>
      </c>
      <c r="E87" s="102">
        <v>0</v>
      </c>
      <c r="F87" s="81">
        <f>SUM(G87:J87)</f>
        <v>0</v>
      </c>
      <c r="G87" s="102">
        <v>0</v>
      </c>
      <c r="H87" s="102">
        <v>0</v>
      </c>
      <c r="I87" s="102">
        <v>0</v>
      </c>
      <c r="J87" s="102">
        <v>0</v>
      </c>
      <c r="K87" s="103"/>
      <c r="L87" s="74"/>
      <c r="M87" s="74"/>
      <c r="N87" s="74"/>
      <c r="O87" s="74"/>
      <c r="P87" s="74"/>
      <c r="Q87" s="74"/>
      <c r="R87" s="75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</row>
    <row r="88" spans="1:29" ht="60.95" customHeight="1" x14ac:dyDescent="0.25">
      <c r="A88" s="138" t="s">
        <v>255</v>
      </c>
      <c r="B88" s="205" t="s">
        <v>256</v>
      </c>
      <c r="C88" s="737">
        <f>C91+C90+C108+C110+C92+C94+C109</f>
        <v>-5252.1999999999989</v>
      </c>
      <c r="D88" s="744">
        <f>D96+D97+D98</f>
        <v>-6055.5</v>
      </c>
      <c r="E88" s="744">
        <f>E96+E97+E98</f>
        <v>-6070.6</v>
      </c>
      <c r="F88" s="81">
        <f>G88+H88+I88+J88</f>
        <v>-6937.0400000000009</v>
      </c>
      <c r="G88" s="81">
        <f>G95+G98+G96+G97</f>
        <v>-1693.6</v>
      </c>
      <c r="H88" s="81">
        <f>H95+H98+H96+H97</f>
        <v>-1868.1000000000001</v>
      </c>
      <c r="I88" s="81">
        <f t="shared" ref="I88:J88" si="6">I95+I98+I96+I97</f>
        <v>-1767.4</v>
      </c>
      <c r="J88" s="81">
        <f t="shared" si="6"/>
        <v>-1607.94</v>
      </c>
      <c r="K88" s="217"/>
      <c r="L88" s="239"/>
      <c r="M88" s="211"/>
      <c r="N88" s="74"/>
      <c r="O88" s="74"/>
      <c r="P88" s="74"/>
      <c r="Q88" s="74"/>
      <c r="R88" s="75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</row>
    <row r="89" spans="1:29" ht="72" customHeight="1" x14ac:dyDescent="0.45">
      <c r="A89" s="240" t="s">
        <v>258</v>
      </c>
      <c r="B89" s="77" t="s">
        <v>257</v>
      </c>
      <c r="C89" s="737">
        <f>C91+C90+C94</f>
        <v>-5220.9999999999991</v>
      </c>
      <c r="D89" s="737">
        <f t="shared" ref="D89" si="7">D91+D90+D94</f>
        <v>0</v>
      </c>
      <c r="E89" s="737"/>
      <c r="F89" s="81">
        <f>SUM(G89:J89)</f>
        <v>0</v>
      </c>
      <c r="G89" s="723"/>
      <c r="H89" s="723"/>
      <c r="I89" s="723"/>
      <c r="J89" s="723"/>
      <c r="K89" s="685" t="s">
        <v>838</v>
      </c>
      <c r="L89" s="239"/>
      <c r="M89" s="211"/>
      <c r="N89" s="74"/>
      <c r="O89" s="74"/>
      <c r="P89" s="74"/>
      <c r="Q89" s="74"/>
      <c r="R89" s="75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</row>
    <row r="90" spans="1:29" ht="89.25" customHeight="1" x14ac:dyDescent="0.25">
      <c r="A90" s="242" t="s">
        <v>259</v>
      </c>
      <c r="B90" s="681" t="s">
        <v>834</v>
      </c>
      <c r="C90" s="733">
        <v>-4268.8999999999996</v>
      </c>
      <c r="D90" s="733">
        <v>0</v>
      </c>
      <c r="E90" s="733"/>
      <c r="F90" s="81">
        <f>G90+H90+I90+J90</f>
        <v>0</v>
      </c>
      <c r="G90" s="728"/>
      <c r="H90" s="728"/>
      <c r="I90" s="728"/>
      <c r="J90" s="728"/>
      <c r="K90" s="103"/>
      <c r="L90" s="211"/>
      <c r="M90" s="211"/>
      <c r="N90" s="74"/>
      <c r="O90" s="74"/>
      <c r="P90" s="74"/>
      <c r="Q90" s="74"/>
      <c r="R90" s="75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</row>
    <row r="91" spans="1:29" ht="72" customHeight="1" x14ac:dyDescent="0.45">
      <c r="A91" s="243" t="s">
        <v>260</v>
      </c>
      <c r="B91" s="681" t="s">
        <v>835</v>
      </c>
      <c r="C91" s="733">
        <v>-941.2</v>
      </c>
      <c r="D91" s="733">
        <v>0</v>
      </c>
      <c r="E91" s="733">
        <v>0</v>
      </c>
      <c r="F91" s="81">
        <f t="shared" ref="F91:F124" si="8">SUM(G91:J91)</f>
        <v>0</v>
      </c>
      <c r="G91" s="726"/>
      <c r="H91" s="726"/>
      <c r="I91" s="726"/>
      <c r="J91" s="726"/>
      <c r="K91" s="684"/>
      <c r="L91" s="211"/>
      <c r="M91" s="211"/>
      <c r="N91" s="74"/>
      <c r="O91" s="74"/>
      <c r="P91" s="74"/>
      <c r="Q91" s="74"/>
      <c r="R91" s="75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</row>
    <row r="92" spans="1:29" ht="83.25" customHeight="1" x14ac:dyDescent="0.45">
      <c r="A92" s="243" t="s">
        <v>262</v>
      </c>
      <c r="B92" s="681" t="s">
        <v>846</v>
      </c>
      <c r="C92" s="733">
        <v>0</v>
      </c>
      <c r="D92" s="102">
        <v>0</v>
      </c>
      <c r="E92" s="102">
        <v>0</v>
      </c>
      <c r="F92" s="81">
        <f t="shared" si="8"/>
        <v>0</v>
      </c>
      <c r="G92" s="234"/>
      <c r="H92" s="234"/>
      <c r="I92" s="234"/>
      <c r="J92" s="234"/>
      <c r="K92" s="808"/>
      <c r="L92" s="811"/>
      <c r="M92" s="211"/>
      <c r="N92" s="74"/>
      <c r="O92" s="74"/>
      <c r="P92" s="74"/>
      <c r="Q92" s="74"/>
      <c r="R92" s="75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</row>
    <row r="93" spans="1:29" ht="3.75" hidden="1" customHeight="1" x14ac:dyDescent="0.2">
      <c r="A93" s="212"/>
      <c r="B93" s="77"/>
      <c r="C93" s="733"/>
      <c r="D93" s="733"/>
      <c r="E93" s="733"/>
      <c r="F93" s="81">
        <f t="shared" si="8"/>
        <v>0</v>
      </c>
      <c r="G93" s="234"/>
      <c r="H93" s="234"/>
      <c r="I93" s="234"/>
      <c r="J93" s="234"/>
      <c r="K93" s="808"/>
      <c r="L93" s="811"/>
      <c r="M93" s="89"/>
      <c r="N93" s="89"/>
      <c r="O93" s="89"/>
      <c r="P93" s="89"/>
      <c r="Q93" s="89"/>
      <c r="R93" s="90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</row>
    <row r="94" spans="1:29" ht="60" customHeight="1" x14ac:dyDescent="0.2">
      <c r="A94" s="677" t="s">
        <v>845</v>
      </c>
      <c r="B94" s="681" t="s">
        <v>848</v>
      </c>
      <c r="C94" s="733">
        <v>-10.9</v>
      </c>
      <c r="D94" s="733">
        <v>0</v>
      </c>
      <c r="E94" s="733">
        <v>0</v>
      </c>
      <c r="F94" s="81">
        <f t="shared" si="8"/>
        <v>0</v>
      </c>
      <c r="G94" s="234"/>
      <c r="H94" s="234"/>
      <c r="I94" s="234"/>
      <c r="J94" s="234"/>
      <c r="K94" s="80"/>
      <c r="L94" s="224"/>
      <c r="M94" s="89"/>
      <c r="N94" s="89"/>
      <c r="O94" s="89"/>
      <c r="P94" s="89"/>
      <c r="Q94" s="89"/>
      <c r="R94" s="90"/>
      <c r="S94" s="89"/>
      <c r="T94" s="89"/>
      <c r="U94" s="89"/>
      <c r="V94" s="89"/>
      <c r="W94" s="89"/>
      <c r="X94" s="89"/>
      <c r="Y94" s="89"/>
      <c r="Z94" s="89"/>
      <c r="AA94" s="89"/>
      <c r="AB94" s="89"/>
      <c r="AC94" s="89"/>
    </row>
    <row r="95" spans="1:29" ht="111.75" hidden="1" customHeight="1" x14ac:dyDescent="0.35">
      <c r="A95" s="679"/>
      <c r="B95" s="681"/>
      <c r="C95" s="733"/>
      <c r="D95" s="733"/>
      <c r="E95" s="733"/>
      <c r="F95" s="727">
        <f>G95+H95+I95+J95</f>
        <v>0</v>
      </c>
      <c r="G95" s="234"/>
      <c r="H95" s="234"/>
      <c r="I95" s="234"/>
      <c r="J95" s="234"/>
      <c r="K95" s="80"/>
      <c r="L95" s="224"/>
      <c r="M95" s="89"/>
      <c r="N95" s="89"/>
      <c r="O95" s="89"/>
      <c r="P95" s="89"/>
      <c r="Q95" s="89"/>
      <c r="R95" s="90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</row>
    <row r="96" spans="1:29" ht="94.5" customHeight="1" x14ac:dyDescent="0.2">
      <c r="A96" s="144" t="s">
        <v>133</v>
      </c>
      <c r="B96" s="681" t="s">
        <v>847</v>
      </c>
      <c r="C96" s="733"/>
      <c r="D96" s="733">
        <v>-4765.8</v>
      </c>
      <c r="E96" s="733">
        <v>-4765.8</v>
      </c>
      <c r="F96" s="81">
        <f>G96+H96+I96+J96</f>
        <v>-5235.5</v>
      </c>
      <c r="G96" s="733">
        <v>-1238.9000000000001</v>
      </c>
      <c r="H96" s="733">
        <v>-1425.2</v>
      </c>
      <c r="I96" s="733">
        <v>-1363.2</v>
      </c>
      <c r="J96" s="733">
        <v>-1208.2</v>
      </c>
      <c r="K96" s="683" t="s">
        <v>837</v>
      </c>
      <c r="L96" s="224"/>
      <c r="M96" s="89"/>
      <c r="N96" s="89"/>
      <c r="O96" s="89"/>
      <c r="P96" s="89"/>
      <c r="Q96" s="89"/>
      <c r="R96" s="90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</row>
    <row r="97" spans="1:29" ht="73.5" customHeight="1" x14ac:dyDescent="0.2">
      <c r="A97" s="144" t="s">
        <v>135</v>
      </c>
      <c r="B97" s="681" t="s">
        <v>261</v>
      </c>
      <c r="C97" s="733"/>
      <c r="D97" s="733">
        <v>-1048.5</v>
      </c>
      <c r="E97" s="733">
        <v>-1048.5</v>
      </c>
      <c r="F97" s="81">
        <f>SUM(G97:J97)</f>
        <v>-1151.8399999999999</v>
      </c>
      <c r="G97" s="739">
        <v>-272.60000000000002</v>
      </c>
      <c r="H97" s="739">
        <v>-313.5</v>
      </c>
      <c r="I97" s="739">
        <v>-299.89999999999998</v>
      </c>
      <c r="J97" s="739">
        <v>-265.83999999999997</v>
      </c>
      <c r="K97" s="244"/>
      <c r="L97" s="245"/>
      <c r="N97" s="89"/>
      <c r="O97" s="89"/>
      <c r="P97" s="89"/>
      <c r="Q97" s="89"/>
      <c r="R97" s="90"/>
      <c r="S97" s="89"/>
      <c r="T97" s="89"/>
      <c r="U97" s="89"/>
      <c r="V97" s="89"/>
      <c r="W97" s="89"/>
      <c r="X97" s="89"/>
      <c r="Y97" s="89"/>
      <c r="Z97" s="89"/>
      <c r="AA97" s="89"/>
      <c r="AB97" s="89"/>
      <c r="AC97" s="89"/>
    </row>
    <row r="98" spans="1:29" ht="63.75" customHeight="1" x14ac:dyDescent="0.2">
      <c r="A98" s="212" t="s">
        <v>263</v>
      </c>
      <c r="B98" s="681" t="s">
        <v>850</v>
      </c>
      <c r="C98" s="733"/>
      <c r="D98" s="733">
        <v>-241.2</v>
      </c>
      <c r="E98" s="733">
        <f>E99+E100+E101+E103+E105+E106+E107+E108+E109+E110+E102</f>
        <v>-256.29999999999995</v>
      </c>
      <c r="F98" s="81">
        <f>SUM(G98:J98)</f>
        <v>-549.70000000000005</v>
      </c>
      <c r="G98" s="771">
        <f>G99+G100+G101+G102+G103+G104+G105+G106+G107+G108</f>
        <v>-182.1</v>
      </c>
      <c r="H98" s="771">
        <f t="shared" ref="H98:J98" si="9">H99+H100+H101+H102+H103+H104+H105+H106+H107+H108</f>
        <v>-129.4</v>
      </c>
      <c r="I98" s="771">
        <f t="shared" si="9"/>
        <v>-104.30000000000001</v>
      </c>
      <c r="J98" s="771">
        <f t="shared" si="9"/>
        <v>-133.9</v>
      </c>
      <c r="K98" s="103"/>
      <c r="L98" s="246" t="e">
        <f>F99+F100+F101+F102+F105+#REF!+F106+F107</f>
        <v>#REF!</v>
      </c>
      <c r="M98" s="176"/>
      <c r="N98" s="247"/>
      <c r="O98" s="89"/>
      <c r="P98" s="89"/>
      <c r="Q98" s="89"/>
      <c r="R98" s="90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</row>
    <row r="99" spans="1:29" ht="67.5" customHeight="1" x14ac:dyDescent="0.2">
      <c r="A99" s="212" t="s">
        <v>161</v>
      </c>
      <c r="B99" s="681" t="s">
        <v>851</v>
      </c>
      <c r="C99" s="733"/>
      <c r="D99" s="234"/>
      <c r="E99" s="733"/>
      <c r="F99" s="81">
        <f t="shared" ref="F99:F108" si="10">SUM(G99:J99)</f>
        <v>-56</v>
      </c>
      <c r="G99" s="771">
        <v>-14</v>
      </c>
      <c r="H99" s="771">
        <v>-14</v>
      </c>
      <c r="I99" s="771">
        <v>-14</v>
      </c>
      <c r="J99" s="771">
        <v>-14</v>
      </c>
      <c r="K99" s="103" t="s">
        <v>897</v>
      </c>
      <c r="L99" s="246"/>
      <c r="M99" s="176"/>
      <c r="N99" s="247"/>
      <c r="O99" s="89"/>
      <c r="P99" s="89"/>
      <c r="Q99" s="89"/>
      <c r="R99" s="90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</row>
    <row r="100" spans="1:29" ht="82.5" customHeight="1" x14ac:dyDescent="0.2">
      <c r="A100" s="212" t="s">
        <v>887</v>
      </c>
      <c r="B100" s="681" t="s">
        <v>852</v>
      </c>
      <c r="C100" s="733">
        <v>0</v>
      </c>
      <c r="D100" s="733">
        <v>-18</v>
      </c>
      <c r="E100" s="733">
        <v>-18</v>
      </c>
      <c r="F100" s="81">
        <f t="shared" si="10"/>
        <v>-25.5</v>
      </c>
      <c r="G100" s="771">
        <f>-7</f>
        <v>-7</v>
      </c>
      <c r="H100" s="771">
        <f>-6</f>
        <v>-6</v>
      </c>
      <c r="I100" s="771">
        <f>-6</f>
        <v>-6</v>
      </c>
      <c r="J100" s="771">
        <f>-6.5</f>
        <v>-6.5</v>
      </c>
      <c r="K100" s="103" t="s">
        <v>902</v>
      </c>
      <c r="L100" s="246"/>
      <c r="M100" s="176"/>
      <c r="N100" s="247"/>
      <c r="O100" s="89"/>
      <c r="P100" s="89"/>
      <c r="Q100" s="89"/>
      <c r="R100" s="90"/>
      <c r="S100" s="89"/>
      <c r="T100" s="89"/>
      <c r="U100" s="89"/>
      <c r="V100" s="89"/>
      <c r="W100" s="89"/>
      <c r="X100" s="89"/>
      <c r="Y100" s="89"/>
      <c r="Z100" s="89"/>
      <c r="AA100" s="89"/>
      <c r="AB100" s="89"/>
      <c r="AC100" s="89"/>
    </row>
    <row r="101" spans="1:29" ht="104.25" customHeight="1" x14ac:dyDescent="0.2">
      <c r="A101" s="248" t="s">
        <v>264</v>
      </c>
      <c r="B101" s="681" t="s">
        <v>853</v>
      </c>
      <c r="C101" s="733">
        <v>0</v>
      </c>
      <c r="D101" s="733">
        <v>-37.1</v>
      </c>
      <c r="E101" s="733">
        <v>-37.1</v>
      </c>
      <c r="F101" s="81">
        <f t="shared" si="10"/>
        <v>-52.900000000000006</v>
      </c>
      <c r="G101" s="771">
        <v>-13.3</v>
      </c>
      <c r="H101" s="771">
        <v>-13.2</v>
      </c>
      <c r="I101" s="771">
        <v>-13.2</v>
      </c>
      <c r="J101" s="771">
        <v>-13.2</v>
      </c>
      <c r="K101" s="103" t="s">
        <v>898</v>
      </c>
      <c r="L101" s="246"/>
      <c r="M101" s="176"/>
      <c r="N101" s="247"/>
      <c r="O101" s="89"/>
      <c r="P101" s="89"/>
      <c r="Q101" s="89"/>
      <c r="R101" s="90"/>
      <c r="S101" s="89"/>
      <c r="T101" s="89"/>
      <c r="U101" s="89"/>
      <c r="V101" s="89"/>
      <c r="W101" s="89"/>
      <c r="X101" s="89"/>
      <c r="Y101" s="89"/>
      <c r="Z101" s="89"/>
      <c r="AA101" s="89"/>
      <c r="AB101" s="89"/>
      <c r="AC101" s="89"/>
    </row>
    <row r="102" spans="1:29" ht="77.25" customHeight="1" x14ac:dyDescent="0.45">
      <c r="A102" s="249" t="s">
        <v>265</v>
      </c>
      <c r="B102" s="681" t="s">
        <v>854</v>
      </c>
      <c r="C102" s="733">
        <v>0</v>
      </c>
      <c r="D102" s="733">
        <v>-4.8</v>
      </c>
      <c r="E102" s="733">
        <v>-4.8</v>
      </c>
      <c r="F102" s="81">
        <f t="shared" si="10"/>
        <v>-6</v>
      </c>
      <c r="G102" s="771">
        <v>-1.5</v>
      </c>
      <c r="H102" s="771">
        <v>-1.5</v>
      </c>
      <c r="I102" s="771">
        <v>-1.5</v>
      </c>
      <c r="J102" s="771">
        <v>-1.5</v>
      </c>
      <c r="K102" s="217" t="s">
        <v>888</v>
      </c>
      <c r="L102" s="246"/>
      <c r="M102" s="176"/>
      <c r="N102" s="247"/>
      <c r="O102" s="89"/>
      <c r="P102" s="89"/>
      <c r="Q102" s="89"/>
      <c r="R102" s="90"/>
      <c r="S102" s="89"/>
      <c r="T102" s="89"/>
      <c r="U102" s="89"/>
      <c r="V102" s="89"/>
      <c r="W102" s="89"/>
      <c r="X102" s="89"/>
      <c r="Y102" s="89"/>
      <c r="Z102" s="89"/>
      <c r="AA102" s="89"/>
      <c r="AB102" s="89"/>
      <c r="AC102" s="89"/>
    </row>
    <row r="103" spans="1:29" ht="77.25" customHeight="1" x14ac:dyDescent="0.45">
      <c r="A103" s="693" t="s">
        <v>849</v>
      </c>
      <c r="B103" s="681" t="s">
        <v>855</v>
      </c>
      <c r="C103" s="733"/>
      <c r="D103" s="733">
        <v>-86.4</v>
      </c>
      <c r="E103" s="733">
        <v>-86.4</v>
      </c>
      <c r="F103" s="81">
        <f t="shared" si="10"/>
        <v>-290</v>
      </c>
      <c r="G103" s="771">
        <v>-100</v>
      </c>
      <c r="H103" s="771">
        <v>-80</v>
      </c>
      <c r="I103" s="771">
        <v>-55</v>
      </c>
      <c r="J103" s="771">
        <v>-55</v>
      </c>
      <c r="K103" s="103" t="s">
        <v>904</v>
      </c>
      <c r="L103" s="246"/>
      <c r="M103" s="176"/>
      <c r="N103" s="247"/>
      <c r="O103" s="89"/>
      <c r="P103" s="89"/>
      <c r="Q103" s="89"/>
      <c r="R103" s="90"/>
      <c r="S103" s="89"/>
      <c r="T103" s="89"/>
      <c r="U103" s="89"/>
      <c r="V103" s="89"/>
      <c r="W103" s="89"/>
      <c r="X103" s="89"/>
      <c r="Y103" s="89"/>
      <c r="Z103" s="89"/>
      <c r="AA103" s="89"/>
      <c r="AB103" s="89"/>
      <c r="AC103" s="89"/>
    </row>
    <row r="104" spans="1:29" ht="77.25" hidden="1" customHeight="1" x14ac:dyDescent="0.45">
      <c r="A104" s="250"/>
      <c r="B104" s="681" t="s">
        <v>856</v>
      </c>
      <c r="C104" s="733"/>
      <c r="D104" s="733"/>
      <c r="E104" s="733"/>
      <c r="F104" s="81">
        <f t="shared" si="10"/>
        <v>0</v>
      </c>
      <c r="G104" s="725"/>
      <c r="H104" s="725"/>
      <c r="I104" s="725"/>
      <c r="J104" s="726"/>
      <c r="K104" s="103" t="s">
        <v>266</v>
      </c>
      <c r="L104" s="246"/>
      <c r="M104" s="176"/>
      <c r="N104" s="247"/>
      <c r="O104" s="89"/>
      <c r="P104" s="89"/>
      <c r="Q104" s="89"/>
      <c r="R104" s="90"/>
      <c r="S104" s="89"/>
      <c r="T104" s="89"/>
      <c r="U104" s="89"/>
      <c r="V104" s="89"/>
      <c r="W104" s="89"/>
      <c r="X104" s="89"/>
      <c r="Y104" s="89"/>
      <c r="Z104" s="89"/>
      <c r="AA104" s="89"/>
      <c r="AB104" s="89"/>
      <c r="AC104" s="89"/>
    </row>
    <row r="105" spans="1:29" ht="60.75" customHeight="1" x14ac:dyDescent="0.2">
      <c r="A105" s="251" t="s">
        <v>267</v>
      </c>
      <c r="B105" s="681" t="s">
        <v>856</v>
      </c>
      <c r="C105" s="733">
        <v>0</v>
      </c>
      <c r="D105" s="733">
        <v>-14.7</v>
      </c>
      <c r="E105" s="733">
        <v>-14.7</v>
      </c>
      <c r="F105" s="81">
        <f t="shared" si="10"/>
        <v>-12.8</v>
      </c>
      <c r="G105" s="771">
        <v>-3.2</v>
      </c>
      <c r="H105" s="771">
        <v>-3.2</v>
      </c>
      <c r="I105" s="771">
        <v>-3.2</v>
      </c>
      <c r="J105" s="771">
        <v>-3.2</v>
      </c>
      <c r="K105" s="103" t="s">
        <v>268</v>
      </c>
      <c r="L105" s="246"/>
      <c r="M105" s="176"/>
      <c r="N105" s="247"/>
      <c r="O105" s="89"/>
      <c r="P105" s="89"/>
      <c r="Q105" s="89"/>
      <c r="R105" s="90"/>
      <c r="S105" s="89"/>
      <c r="T105" s="89"/>
      <c r="U105" s="89"/>
      <c r="V105" s="89"/>
      <c r="W105" s="89"/>
      <c r="X105" s="89"/>
      <c r="Y105" s="89"/>
      <c r="Z105" s="89"/>
      <c r="AA105" s="89"/>
      <c r="AB105" s="89"/>
      <c r="AC105" s="89"/>
    </row>
    <row r="106" spans="1:29" ht="103.5" customHeight="1" x14ac:dyDescent="0.2">
      <c r="A106" s="212" t="s">
        <v>182</v>
      </c>
      <c r="B106" s="681" t="s">
        <v>857</v>
      </c>
      <c r="C106" s="733">
        <v>0</v>
      </c>
      <c r="D106" s="733">
        <v>-79.2</v>
      </c>
      <c r="E106" s="733">
        <v>-79.2</v>
      </c>
      <c r="F106" s="81">
        <f t="shared" si="10"/>
        <v>-83.8</v>
      </c>
      <c r="G106" s="771">
        <v>-35.5</v>
      </c>
      <c r="H106" s="771">
        <v>-6.4</v>
      </c>
      <c r="I106" s="771">
        <v>-6.4</v>
      </c>
      <c r="J106" s="771">
        <v>-35.5</v>
      </c>
      <c r="K106" s="103" t="s">
        <v>906</v>
      </c>
      <c r="L106" s="246"/>
      <c r="M106" s="176"/>
      <c r="N106" s="247"/>
      <c r="O106" s="89"/>
      <c r="P106" s="89"/>
      <c r="Q106" s="89"/>
      <c r="R106" s="90"/>
      <c r="S106" s="89"/>
      <c r="T106" s="89"/>
      <c r="U106" s="89"/>
      <c r="V106" s="89"/>
      <c r="W106" s="89"/>
      <c r="X106" s="89"/>
      <c r="Y106" s="89"/>
      <c r="Z106" s="89"/>
      <c r="AA106" s="89"/>
      <c r="AB106" s="89"/>
      <c r="AC106" s="89"/>
    </row>
    <row r="107" spans="1:29" ht="60.75" customHeight="1" x14ac:dyDescent="0.2">
      <c r="A107" s="212" t="s">
        <v>861</v>
      </c>
      <c r="B107" s="681" t="s">
        <v>858</v>
      </c>
      <c r="C107" s="733">
        <v>0</v>
      </c>
      <c r="D107" s="733">
        <v>-1</v>
      </c>
      <c r="E107" s="733">
        <v>-1</v>
      </c>
      <c r="F107" s="81">
        <f t="shared" si="10"/>
        <v>-2.5</v>
      </c>
      <c r="G107" s="771">
        <v>-2.5</v>
      </c>
      <c r="H107" s="725"/>
      <c r="I107" s="725"/>
      <c r="J107" s="726"/>
      <c r="K107" s="103" t="s">
        <v>269</v>
      </c>
      <c r="L107" s="246"/>
      <c r="M107" s="176"/>
      <c r="N107" s="247"/>
      <c r="O107" s="89"/>
      <c r="P107" s="89"/>
      <c r="Q107" s="89"/>
      <c r="R107" s="90"/>
      <c r="S107" s="89"/>
      <c r="T107" s="89"/>
      <c r="U107" s="89"/>
      <c r="V107" s="89"/>
      <c r="W107" s="89"/>
      <c r="X107" s="89"/>
      <c r="Y107" s="89"/>
      <c r="Z107" s="89"/>
      <c r="AA107" s="89"/>
      <c r="AB107" s="89"/>
      <c r="AC107" s="89"/>
    </row>
    <row r="108" spans="1:29" ht="94.5" customHeight="1" x14ac:dyDescent="0.2">
      <c r="A108" s="223" t="s">
        <v>270</v>
      </c>
      <c r="B108" s="681" t="s">
        <v>859</v>
      </c>
      <c r="C108" s="733"/>
      <c r="D108" s="102">
        <v>0</v>
      </c>
      <c r="E108" s="733">
        <v>-15.1</v>
      </c>
      <c r="F108" s="81">
        <f t="shared" si="10"/>
        <v>-20.2</v>
      </c>
      <c r="G108" s="771">
        <v>-5.0999999999999996</v>
      </c>
      <c r="H108" s="771">
        <v>-5.0999999999999996</v>
      </c>
      <c r="I108" s="771">
        <v>-5</v>
      </c>
      <c r="J108" s="771">
        <v>-5</v>
      </c>
      <c r="K108" s="103" t="s">
        <v>903</v>
      </c>
      <c r="L108" s="96"/>
      <c r="M108" s="96"/>
      <c r="N108" s="89"/>
      <c r="O108" s="89"/>
      <c r="P108" s="89"/>
      <c r="Q108" s="89"/>
      <c r="R108" s="90"/>
      <c r="S108" s="89"/>
      <c r="T108" s="89"/>
      <c r="U108" s="89"/>
      <c r="V108" s="89"/>
      <c r="W108" s="89"/>
      <c r="X108" s="89"/>
      <c r="Y108" s="89"/>
      <c r="Z108" s="89"/>
      <c r="AA108" s="89"/>
      <c r="AB108" s="89"/>
      <c r="AC108" s="89"/>
    </row>
    <row r="109" spans="1:29" ht="94.5" customHeight="1" x14ac:dyDescent="0.2">
      <c r="A109" s="223" t="s">
        <v>877</v>
      </c>
      <c r="B109" s="681"/>
      <c r="C109" s="733">
        <v>-10.9</v>
      </c>
      <c r="D109" s="102"/>
      <c r="E109" s="102"/>
      <c r="F109" s="727"/>
      <c r="G109" s="729"/>
      <c r="H109" s="729"/>
      <c r="I109" s="729"/>
      <c r="J109" s="720"/>
      <c r="K109" s="103"/>
      <c r="L109" s="96"/>
      <c r="M109" s="96"/>
      <c r="N109" s="89"/>
      <c r="O109" s="89"/>
      <c r="P109" s="89"/>
      <c r="Q109" s="89"/>
      <c r="R109" s="90"/>
      <c r="S109" s="89"/>
      <c r="T109" s="89"/>
      <c r="U109" s="89"/>
      <c r="V109" s="89"/>
      <c r="W109" s="89"/>
      <c r="X109" s="89"/>
      <c r="Y109" s="89"/>
      <c r="Z109" s="89"/>
      <c r="AA109" s="89"/>
      <c r="AB109" s="89"/>
      <c r="AC109" s="89"/>
    </row>
    <row r="110" spans="1:29" ht="65.099999999999994" customHeight="1" x14ac:dyDescent="0.2">
      <c r="A110" s="223" t="s">
        <v>271</v>
      </c>
      <c r="B110" s="681" t="s">
        <v>860</v>
      </c>
      <c r="C110" s="733">
        <v>-20.3</v>
      </c>
      <c r="D110" s="733">
        <v>0</v>
      </c>
      <c r="E110" s="733">
        <v>0</v>
      </c>
      <c r="F110" s="252">
        <f t="shared" si="8"/>
        <v>0</v>
      </c>
      <c r="G110" s="729"/>
      <c r="H110" s="729"/>
      <c r="I110" s="729"/>
      <c r="J110" s="729"/>
      <c r="K110" s="253"/>
      <c r="L110" s="96"/>
      <c r="M110" s="96"/>
      <c r="N110" s="89"/>
      <c r="O110" s="89"/>
      <c r="P110" s="89"/>
      <c r="Q110" s="89"/>
      <c r="R110" s="90"/>
      <c r="S110" s="89"/>
      <c r="T110" s="89"/>
      <c r="U110" s="89"/>
      <c r="V110" s="89"/>
      <c r="W110" s="89"/>
      <c r="X110" s="89"/>
      <c r="Y110" s="89"/>
      <c r="Z110" s="89"/>
      <c r="AA110" s="89"/>
      <c r="AB110" s="89"/>
      <c r="AC110" s="89"/>
    </row>
    <row r="111" spans="1:29" ht="79.5" customHeight="1" x14ac:dyDescent="0.2">
      <c r="A111" s="204" t="s">
        <v>49</v>
      </c>
      <c r="B111" s="92" t="s">
        <v>272</v>
      </c>
      <c r="C111" s="744">
        <v>-1100.5999999999999</v>
      </c>
      <c r="D111" s="744">
        <f>D45+D85+D53</f>
        <v>-372.00000000000023</v>
      </c>
      <c r="E111" s="744">
        <f>ROUND(SUM(E44,E45,E53,E80,E85),1)</f>
        <v>-408.7</v>
      </c>
      <c r="F111" s="81">
        <f>SUM(G111:J111)</f>
        <v>-755.44000000000028</v>
      </c>
      <c r="G111" s="744">
        <f>G45+G85+G53</f>
        <v>-259.39999999999986</v>
      </c>
      <c r="H111" s="744">
        <f>H45+H85+H53</f>
        <v>-168.10000000000019</v>
      </c>
      <c r="I111" s="744">
        <f>I45+I85+I53</f>
        <v>-143.7000000000001</v>
      </c>
      <c r="J111" s="744">
        <f>J45+J85+J53</f>
        <v>-184.24000000000007</v>
      </c>
      <c r="K111" s="241"/>
      <c r="L111" s="96"/>
      <c r="M111" s="96"/>
      <c r="N111" s="89"/>
      <c r="O111" s="89"/>
      <c r="P111" s="89"/>
      <c r="Q111" s="89"/>
      <c r="R111" s="90"/>
      <c r="S111" s="89"/>
      <c r="T111" s="89"/>
      <c r="U111" s="89"/>
      <c r="V111" s="89"/>
      <c r="W111" s="89"/>
      <c r="X111" s="89"/>
      <c r="Y111" s="89"/>
      <c r="Z111" s="89"/>
      <c r="AA111" s="89"/>
      <c r="AB111" s="89"/>
      <c r="AC111" s="89"/>
    </row>
    <row r="112" spans="1:29" ht="67.5" customHeight="1" x14ac:dyDescent="0.2">
      <c r="A112" s="138" t="s">
        <v>273</v>
      </c>
      <c r="B112" s="92" t="s">
        <v>274</v>
      </c>
      <c r="C112" s="737">
        <v>0</v>
      </c>
      <c r="D112" s="760">
        <v>0</v>
      </c>
      <c r="E112" s="737">
        <v>0</v>
      </c>
      <c r="F112" s="81">
        <f t="shared" si="8"/>
        <v>0</v>
      </c>
      <c r="G112" s="746">
        <v>0</v>
      </c>
      <c r="H112" s="746">
        <v>0</v>
      </c>
      <c r="I112" s="746">
        <v>0</v>
      </c>
      <c r="J112" s="746">
        <v>0</v>
      </c>
      <c r="K112" s="95"/>
      <c r="L112" s="96"/>
      <c r="M112" s="96"/>
      <c r="N112" s="89"/>
      <c r="O112" s="89"/>
      <c r="P112" s="89"/>
      <c r="Q112" s="89"/>
      <c r="R112" s="90"/>
      <c r="S112" s="89"/>
      <c r="T112" s="89"/>
      <c r="U112" s="89"/>
      <c r="V112" s="89"/>
      <c r="W112" s="89"/>
      <c r="X112" s="89"/>
      <c r="Y112" s="89"/>
      <c r="Z112" s="89"/>
      <c r="AA112" s="89"/>
      <c r="AB112" s="89"/>
      <c r="AC112" s="89"/>
    </row>
    <row r="113" spans="1:31" ht="62.25" customHeight="1" x14ac:dyDescent="0.2">
      <c r="A113" s="138" t="s">
        <v>275</v>
      </c>
      <c r="B113" s="92" t="s">
        <v>276</v>
      </c>
      <c r="C113" s="745">
        <v>0</v>
      </c>
      <c r="D113" s="737">
        <f>SUM(D114)</f>
        <v>0</v>
      </c>
      <c r="E113" s="737">
        <f>SUM(E114)</f>
        <v>0</v>
      </c>
      <c r="F113" s="81">
        <f t="shared" si="8"/>
        <v>0</v>
      </c>
      <c r="G113" s="746">
        <v>0</v>
      </c>
      <c r="H113" s="746">
        <v>0</v>
      </c>
      <c r="I113" s="746">
        <v>0</v>
      </c>
      <c r="J113" s="746">
        <v>0</v>
      </c>
      <c r="K113" s="95"/>
      <c r="L113" s="96"/>
      <c r="M113" s="96"/>
      <c r="N113" s="89"/>
      <c r="O113" s="89"/>
      <c r="P113" s="89"/>
      <c r="Q113" s="89"/>
      <c r="R113" s="90"/>
      <c r="S113" s="89"/>
      <c r="T113" s="89"/>
      <c r="U113" s="89"/>
      <c r="V113" s="89"/>
      <c r="W113" s="89"/>
      <c r="X113" s="89"/>
      <c r="Y113" s="89"/>
      <c r="Z113" s="89"/>
      <c r="AA113" s="89"/>
      <c r="AB113" s="89"/>
      <c r="AC113" s="89"/>
    </row>
    <row r="114" spans="1:31" ht="40.700000000000003" customHeight="1" x14ac:dyDescent="0.2">
      <c r="A114" s="144" t="s">
        <v>277</v>
      </c>
      <c r="B114" s="77" t="s">
        <v>278</v>
      </c>
      <c r="C114" s="102">
        <v>0</v>
      </c>
      <c r="D114" s="102">
        <v>0</v>
      </c>
      <c r="E114" s="102">
        <v>0</v>
      </c>
      <c r="F114" s="81">
        <f t="shared" si="8"/>
        <v>0</v>
      </c>
      <c r="G114" s="102">
        <v>0</v>
      </c>
      <c r="H114" s="102">
        <v>0</v>
      </c>
      <c r="I114" s="102">
        <v>0</v>
      </c>
      <c r="J114" s="102">
        <v>0</v>
      </c>
      <c r="K114" s="103"/>
      <c r="L114" s="96"/>
      <c r="M114" s="96"/>
      <c r="N114" s="89"/>
      <c r="O114" s="89"/>
      <c r="P114" s="89"/>
      <c r="Q114" s="89"/>
      <c r="R114" s="90"/>
      <c r="S114" s="89"/>
      <c r="T114" s="89"/>
      <c r="U114" s="89"/>
      <c r="V114" s="89"/>
      <c r="W114" s="89"/>
      <c r="X114" s="89"/>
      <c r="Y114" s="89"/>
      <c r="Z114" s="89"/>
      <c r="AA114" s="89"/>
      <c r="AB114" s="89"/>
      <c r="AC114" s="89"/>
    </row>
    <row r="115" spans="1:31" ht="58.5" customHeight="1" x14ac:dyDescent="0.25">
      <c r="A115" s="138" t="s">
        <v>279</v>
      </c>
      <c r="B115" s="92" t="s">
        <v>280</v>
      </c>
      <c r="C115" s="746" t="s">
        <v>281</v>
      </c>
      <c r="D115" s="746" t="s">
        <v>281</v>
      </c>
      <c r="E115" s="761" t="s">
        <v>281</v>
      </c>
      <c r="F115" s="81">
        <f t="shared" si="8"/>
        <v>0</v>
      </c>
      <c r="G115" s="746">
        <v>0</v>
      </c>
      <c r="H115" s="746">
        <v>0</v>
      </c>
      <c r="I115" s="746">
        <v>0</v>
      </c>
      <c r="J115" s="746">
        <v>0</v>
      </c>
      <c r="K115" s="95"/>
      <c r="L115" s="74"/>
      <c r="M115" s="74"/>
      <c r="N115" s="74"/>
      <c r="O115" s="74"/>
      <c r="P115" s="74"/>
      <c r="Q115" s="74"/>
      <c r="R115" s="75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</row>
    <row r="116" spans="1:31" ht="67.5" customHeight="1" x14ac:dyDescent="0.25">
      <c r="A116" s="138" t="s">
        <v>282</v>
      </c>
      <c r="B116" s="92" t="s">
        <v>283</v>
      </c>
      <c r="C116" s="746" t="s">
        <v>281</v>
      </c>
      <c r="D116" s="746" t="s">
        <v>281</v>
      </c>
      <c r="E116" s="761" t="s">
        <v>281</v>
      </c>
      <c r="F116" s="81">
        <f t="shared" si="8"/>
        <v>0</v>
      </c>
      <c r="G116" s="746">
        <v>0</v>
      </c>
      <c r="H116" s="746">
        <v>0</v>
      </c>
      <c r="I116" s="746">
        <v>0</v>
      </c>
      <c r="J116" s="746">
        <v>0</v>
      </c>
      <c r="K116" s="95"/>
      <c r="L116" s="74"/>
      <c r="M116" s="74"/>
      <c r="N116" s="74"/>
      <c r="O116" s="74"/>
      <c r="P116" s="74"/>
      <c r="Q116" s="74"/>
      <c r="R116" s="75"/>
      <c r="S116" s="74"/>
      <c r="T116" s="74"/>
      <c r="U116" s="74"/>
      <c r="V116" s="74"/>
      <c r="W116" s="74"/>
      <c r="X116" s="74"/>
      <c r="Y116" s="74"/>
      <c r="Z116" s="74"/>
      <c r="AA116" s="74"/>
      <c r="AB116" s="74"/>
      <c r="AC116" s="74"/>
    </row>
    <row r="117" spans="1:31" ht="65.099999999999994" customHeight="1" x14ac:dyDescent="0.25">
      <c r="A117" s="138" t="s">
        <v>284</v>
      </c>
      <c r="B117" s="92" t="s">
        <v>285</v>
      </c>
      <c r="C117" s="737">
        <f>SUM(C118:C119)</f>
        <v>457</v>
      </c>
      <c r="D117" s="737">
        <f>SUM(D118:D119)</f>
        <v>0</v>
      </c>
      <c r="E117" s="737">
        <f>SUM(E118:E119)</f>
        <v>0</v>
      </c>
      <c r="F117" s="81">
        <f t="shared" si="8"/>
        <v>0</v>
      </c>
      <c r="G117" s="737">
        <f>G118+G119</f>
        <v>0</v>
      </c>
      <c r="H117" s="737">
        <f>H118+H119</f>
        <v>0</v>
      </c>
      <c r="I117" s="737">
        <f>I118+I119</f>
        <v>0</v>
      </c>
      <c r="J117" s="737">
        <f>J118+J119</f>
        <v>0</v>
      </c>
      <c r="K117" s="241"/>
      <c r="L117" s="74"/>
      <c r="M117" s="74"/>
      <c r="N117" s="74"/>
      <c r="O117" s="74"/>
      <c r="P117" s="74"/>
      <c r="Q117" s="74"/>
      <c r="R117" s="75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</row>
    <row r="118" spans="1:31" ht="99" customHeight="1" x14ac:dyDescent="0.25">
      <c r="A118" s="144" t="s">
        <v>286</v>
      </c>
      <c r="B118" s="77" t="s">
        <v>287</v>
      </c>
      <c r="C118" s="733">
        <v>86</v>
      </c>
      <c r="D118" s="733">
        <v>0</v>
      </c>
      <c r="E118" s="733">
        <v>0</v>
      </c>
      <c r="F118" s="81">
        <f t="shared" si="8"/>
        <v>0</v>
      </c>
      <c r="G118" s="733">
        <v>0</v>
      </c>
      <c r="H118" s="733">
        <v>0</v>
      </c>
      <c r="I118" s="733">
        <v>0</v>
      </c>
      <c r="J118" s="733">
        <v>0</v>
      </c>
      <c r="K118" s="254"/>
      <c r="L118" s="255"/>
      <c r="M118" s="807"/>
      <c r="N118" s="807"/>
      <c r="O118" s="807"/>
      <c r="P118" s="74"/>
      <c r="Q118" s="74"/>
      <c r="R118" s="74"/>
      <c r="S118" s="74"/>
      <c r="T118" s="75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</row>
    <row r="119" spans="1:31" ht="52.5" customHeight="1" x14ac:dyDescent="0.25">
      <c r="A119" s="162" t="s">
        <v>191</v>
      </c>
      <c r="B119" s="77" t="s">
        <v>288</v>
      </c>
      <c r="C119" s="733">
        <v>371</v>
      </c>
      <c r="D119" s="733">
        <v>0</v>
      </c>
      <c r="E119" s="733">
        <v>0</v>
      </c>
      <c r="F119" s="81">
        <f t="shared" si="8"/>
        <v>0</v>
      </c>
      <c r="G119" s="102">
        <v>0</v>
      </c>
      <c r="H119" s="102">
        <v>0</v>
      </c>
      <c r="I119" s="102">
        <v>0</v>
      </c>
      <c r="J119" s="102">
        <v>0</v>
      </c>
      <c r="K119" s="254"/>
      <c r="L119" s="256"/>
      <c r="M119" s="151"/>
      <c r="N119" s="74"/>
      <c r="O119" s="74"/>
      <c r="P119" s="74"/>
      <c r="Q119" s="74"/>
      <c r="R119" s="75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</row>
    <row r="120" spans="1:31" ht="63" customHeight="1" x14ac:dyDescent="0.25">
      <c r="A120" s="138" t="s">
        <v>289</v>
      </c>
      <c r="B120" s="92" t="s">
        <v>290</v>
      </c>
      <c r="C120" s="737">
        <f>SUM(C121:C124)</f>
        <v>-436.8</v>
      </c>
      <c r="D120" s="737">
        <f>SUM(D121:D124)</f>
        <v>0</v>
      </c>
      <c r="E120" s="737">
        <f>SUM(E121:E124)</f>
        <v>0</v>
      </c>
      <c r="F120" s="81">
        <f t="shared" si="8"/>
        <v>0</v>
      </c>
      <c r="G120" s="773">
        <f>SUM(G121:G124)</f>
        <v>0</v>
      </c>
      <c r="H120" s="773">
        <f>SUM(H121:H124)</f>
        <v>0</v>
      </c>
      <c r="I120" s="773">
        <f>SUM(I121:I124)</f>
        <v>0</v>
      </c>
      <c r="J120" s="773">
        <f>SUM(J121:J124)</f>
        <v>0</v>
      </c>
      <c r="K120" s="257"/>
      <c r="L120" s="74"/>
      <c r="M120" s="74"/>
      <c r="N120" s="74"/>
      <c r="O120" s="74"/>
      <c r="P120" s="74"/>
      <c r="Q120" s="74"/>
      <c r="R120" s="75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</row>
    <row r="121" spans="1:31" ht="64.5" customHeight="1" x14ac:dyDescent="0.25">
      <c r="A121" s="144" t="s">
        <v>291</v>
      </c>
      <c r="B121" s="77" t="s">
        <v>292</v>
      </c>
      <c r="C121" s="102">
        <v>0</v>
      </c>
      <c r="D121" s="102">
        <v>0</v>
      </c>
      <c r="E121" s="102">
        <v>0</v>
      </c>
      <c r="F121" s="81">
        <f t="shared" si="8"/>
        <v>0</v>
      </c>
      <c r="G121" s="102">
        <v>0</v>
      </c>
      <c r="H121" s="102">
        <v>0</v>
      </c>
      <c r="I121" s="102">
        <v>0</v>
      </c>
      <c r="J121" s="102">
        <v>0</v>
      </c>
      <c r="K121" s="103"/>
      <c r="L121" s="74"/>
      <c r="M121" s="74"/>
      <c r="N121" s="74"/>
      <c r="O121" s="74"/>
      <c r="P121" s="74"/>
      <c r="Q121" s="74"/>
      <c r="R121" s="75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</row>
    <row r="122" spans="1:31" ht="75" customHeight="1" x14ac:dyDescent="0.25">
      <c r="A122" s="144" t="s">
        <v>878</v>
      </c>
      <c r="B122" s="77" t="s">
        <v>293</v>
      </c>
      <c r="C122" s="733">
        <v>-436.8</v>
      </c>
      <c r="D122" s="102">
        <v>0</v>
      </c>
      <c r="E122" s="102">
        <v>0</v>
      </c>
      <c r="F122" s="81">
        <f t="shared" si="8"/>
        <v>0</v>
      </c>
      <c r="G122" s="102">
        <v>0</v>
      </c>
      <c r="H122" s="102">
        <v>0</v>
      </c>
      <c r="I122" s="102">
        <v>0</v>
      </c>
      <c r="J122" s="102">
        <v>0</v>
      </c>
      <c r="K122" s="103"/>
      <c r="L122" s="74"/>
      <c r="M122" s="74"/>
      <c r="N122" s="74"/>
      <c r="O122" s="74"/>
      <c r="P122" s="74"/>
      <c r="Q122" s="74"/>
      <c r="R122" s="75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</row>
    <row r="123" spans="1:31" ht="69.75" customHeight="1" x14ac:dyDescent="0.25">
      <c r="A123" s="144" t="s">
        <v>294</v>
      </c>
      <c r="B123" s="77" t="s">
        <v>295</v>
      </c>
      <c r="C123" s="733">
        <v>0</v>
      </c>
      <c r="D123" s="102">
        <v>0</v>
      </c>
      <c r="E123" s="102">
        <v>0</v>
      </c>
      <c r="F123" s="81">
        <f t="shared" si="8"/>
        <v>0</v>
      </c>
      <c r="G123" s="102">
        <v>0</v>
      </c>
      <c r="H123" s="102">
        <v>0</v>
      </c>
      <c r="I123" s="102">
        <v>0</v>
      </c>
      <c r="J123" s="102">
        <v>0</v>
      </c>
      <c r="K123" s="103"/>
      <c r="L123" s="213"/>
      <c r="M123" s="213"/>
      <c r="N123" s="74"/>
      <c r="O123" s="74"/>
      <c r="P123" s="74"/>
      <c r="Q123" s="74"/>
      <c r="R123" s="75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</row>
    <row r="124" spans="1:31" ht="90.75" customHeight="1" x14ac:dyDescent="0.25">
      <c r="A124" s="162" t="s">
        <v>296</v>
      </c>
      <c r="B124" s="77" t="s">
        <v>297</v>
      </c>
      <c r="C124" s="102">
        <v>0</v>
      </c>
      <c r="D124" s="102">
        <v>0</v>
      </c>
      <c r="E124" s="102">
        <v>0</v>
      </c>
      <c r="F124" s="81">
        <f t="shared" si="8"/>
        <v>0</v>
      </c>
      <c r="G124" s="102">
        <v>0</v>
      </c>
      <c r="H124" s="102">
        <v>0</v>
      </c>
      <c r="I124" s="102">
        <v>0</v>
      </c>
      <c r="J124" s="102">
        <v>0</v>
      </c>
      <c r="K124" s="103"/>
      <c r="L124" s="74"/>
      <c r="M124" s="74"/>
      <c r="N124" s="74"/>
      <c r="O124" s="74"/>
      <c r="P124" s="74"/>
      <c r="Q124" s="74"/>
      <c r="R124" s="75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</row>
    <row r="125" spans="1:31" ht="69" customHeight="1" x14ac:dyDescent="0.25">
      <c r="A125" s="258" t="s">
        <v>52</v>
      </c>
      <c r="B125" s="259" t="s">
        <v>298</v>
      </c>
      <c r="C125" s="747">
        <v>-1080.4000000000001</v>
      </c>
      <c r="D125" s="747">
        <f>ROUND(SUM(D111,D112,D113,D115,D116,D117,D120),1)</f>
        <v>-372</v>
      </c>
      <c r="E125" s="747">
        <f>ROUND(SUM(E111,E112,E113,E115,E116,E117,E120),1)</f>
        <v>-408.7</v>
      </c>
      <c r="F125" s="776">
        <f>F117+F111+F120</f>
        <v>-755.44000000000028</v>
      </c>
      <c r="G125" s="777">
        <f>G117+G111+G120</f>
        <v>-259.39999999999986</v>
      </c>
      <c r="H125" s="777">
        <f>H117+H111+H120</f>
        <v>-168.10000000000019</v>
      </c>
      <c r="I125" s="777">
        <f>I117+I111+I120</f>
        <v>-143.7000000000001</v>
      </c>
      <c r="J125" s="777">
        <f>J117+J111+J120</f>
        <v>-184.24000000000007</v>
      </c>
      <c r="K125" s="260"/>
      <c r="L125" s="74"/>
      <c r="M125" s="74"/>
      <c r="N125" s="74"/>
      <c r="O125" s="74"/>
      <c r="P125" s="74"/>
      <c r="Q125" s="74"/>
      <c r="R125" s="75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</row>
    <row r="126" spans="1:31" ht="66" customHeight="1" x14ac:dyDescent="0.25">
      <c r="A126" s="138" t="s">
        <v>53</v>
      </c>
      <c r="B126" s="92" t="s">
        <v>299</v>
      </c>
      <c r="C126" s="737"/>
      <c r="D126" s="762">
        <v>0</v>
      </c>
      <c r="E126" s="762">
        <v>0</v>
      </c>
      <c r="F126" s="81">
        <f>SUM(G126:J126)</f>
        <v>0</v>
      </c>
      <c r="G126" s="139">
        <v>0</v>
      </c>
      <c r="H126" s="139">
        <v>0</v>
      </c>
      <c r="I126" s="139">
        <v>0</v>
      </c>
      <c r="J126" s="139">
        <v>0</v>
      </c>
      <c r="K126" s="95"/>
      <c r="L126" s="74" t="s">
        <v>300</v>
      </c>
      <c r="M126" s="74"/>
      <c r="N126" s="74"/>
      <c r="O126" s="74"/>
      <c r="P126" s="74"/>
      <c r="Q126" s="74"/>
      <c r="R126" s="75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</row>
    <row r="127" spans="1:31" ht="65.099999999999994" customHeight="1" x14ac:dyDescent="0.25">
      <c r="A127" s="144" t="s">
        <v>301</v>
      </c>
      <c r="B127" s="77" t="s">
        <v>302</v>
      </c>
      <c r="C127" s="102">
        <v>0</v>
      </c>
      <c r="D127" s="102">
        <v>0</v>
      </c>
      <c r="E127" s="102">
        <v>0</v>
      </c>
      <c r="F127" s="81">
        <f>-SUM(G127:J127)</f>
        <v>0</v>
      </c>
      <c r="G127" s="102">
        <v>0</v>
      </c>
      <c r="H127" s="102">
        <v>0</v>
      </c>
      <c r="I127" s="102">
        <v>0</v>
      </c>
      <c r="J127" s="102">
        <v>0</v>
      </c>
      <c r="K127" s="261"/>
      <c r="L127" s="74"/>
      <c r="M127" s="74"/>
      <c r="N127" s="74"/>
      <c r="O127" s="74"/>
      <c r="P127" s="74"/>
      <c r="Q127" s="74"/>
      <c r="R127" s="75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</row>
    <row r="128" spans="1:31" ht="66" customHeight="1" x14ac:dyDescent="0.2">
      <c r="A128" s="204" t="s">
        <v>303</v>
      </c>
      <c r="B128" s="92" t="s">
        <v>304</v>
      </c>
      <c r="C128" s="744">
        <v>-1080.4000000000001</v>
      </c>
      <c r="D128" s="744">
        <f>ROUND(SUM(D125,D126,D127),1)</f>
        <v>-372</v>
      </c>
      <c r="E128" s="744">
        <f>ROUND(SUM(E125,E126,E127),1)</f>
        <v>-408.7</v>
      </c>
      <c r="F128" s="81">
        <f>SUM(G128:J128)</f>
        <v>-755.44000000000028</v>
      </c>
      <c r="G128" s="744">
        <f>G125+G126</f>
        <v>-259.39999999999986</v>
      </c>
      <c r="H128" s="744">
        <f>H125+H126</f>
        <v>-168.10000000000019</v>
      </c>
      <c r="I128" s="744">
        <f>I125+I126</f>
        <v>-143.7000000000001</v>
      </c>
      <c r="J128" s="778">
        <f>J125+J126</f>
        <v>-184.24000000000007</v>
      </c>
      <c r="K128" s="95"/>
      <c r="L128" s="228"/>
      <c r="M128" s="262"/>
      <c r="N128" s="262"/>
      <c r="O128" s="89"/>
      <c r="P128" s="89"/>
      <c r="Q128" s="89"/>
      <c r="R128" s="90"/>
      <c r="S128" s="89"/>
      <c r="T128" s="89"/>
      <c r="U128" s="89"/>
      <c r="V128" s="89"/>
      <c r="W128" s="89"/>
      <c r="X128" s="89"/>
      <c r="Y128" s="89"/>
      <c r="Z128" s="89"/>
      <c r="AA128" s="89"/>
      <c r="AB128" s="89"/>
      <c r="AC128" s="89"/>
    </row>
    <row r="129" spans="1:29" ht="34.35" customHeight="1" x14ac:dyDescent="0.25">
      <c r="A129" s="144" t="s">
        <v>305</v>
      </c>
      <c r="B129" s="77" t="s">
        <v>306</v>
      </c>
      <c r="C129" s="733"/>
      <c r="D129" s="234"/>
      <c r="E129" s="234"/>
      <c r="F129" s="81">
        <f>SUM(G129:J129)</f>
        <v>0</v>
      </c>
      <c r="G129" s="755">
        <v>0</v>
      </c>
      <c r="H129" s="102">
        <v>0</v>
      </c>
      <c r="I129" s="102">
        <v>0</v>
      </c>
      <c r="J129" s="102">
        <v>0</v>
      </c>
      <c r="K129" s="226"/>
      <c r="L129" s="74"/>
      <c r="M129" s="74"/>
      <c r="N129" s="74"/>
      <c r="O129" s="74"/>
      <c r="P129" s="74"/>
      <c r="Q129" s="74"/>
      <c r="R129" s="75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</row>
    <row r="130" spans="1:29" ht="33" customHeight="1" x14ac:dyDescent="0.25">
      <c r="A130" s="144" t="s">
        <v>307</v>
      </c>
      <c r="B130" s="77" t="s">
        <v>308</v>
      </c>
      <c r="C130" s="744">
        <v>-1080.4000000000001</v>
      </c>
      <c r="D130" s="744">
        <v>-372</v>
      </c>
      <c r="E130" s="744">
        <v>-408.7</v>
      </c>
      <c r="F130" s="81">
        <f>SUM(G130:J130)</f>
        <v>-755.44000000000028</v>
      </c>
      <c r="G130" s="779">
        <f>G122+G116+G125</f>
        <v>-259.39999999999986</v>
      </c>
      <c r="H130" s="779">
        <f>H122+H116+H125</f>
        <v>-168.10000000000019</v>
      </c>
      <c r="I130" s="779">
        <f>I122+I116+I125</f>
        <v>-143.7000000000001</v>
      </c>
      <c r="J130" s="779">
        <f>J122+J116+J125</f>
        <v>-184.24000000000007</v>
      </c>
      <c r="K130" s="103"/>
      <c r="L130" s="74"/>
      <c r="M130" s="74"/>
      <c r="N130" s="74"/>
      <c r="O130" s="74"/>
      <c r="P130" s="74"/>
      <c r="Q130" s="74"/>
      <c r="R130" s="75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</row>
    <row r="131" spans="1:29" ht="43.15" customHeight="1" x14ac:dyDescent="0.2">
      <c r="A131" s="144" t="s">
        <v>309</v>
      </c>
      <c r="B131" s="77" t="s">
        <v>310</v>
      </c>
      <c r="C131" s="102">
        <v>0</v>
      </c>
      <c r="D131" s="102">
        <v>0</v>
      </c>
      <c r="E131" s="102">
        <v>0</v>
      </c>
      <c r="F131" s="81">
        <f>SUM(G131:J131)</f>
        <v>0</v>
      </c>
      <c r="G131" s="102">
        <v>0</v>
      </c>
      <c r="H131" s="102">
        <v>0</v>
      </c>
      <c r="I131" s="102">
        <v>0</v>
      </c>
      <c r="J131" s="102">
        <v>0</v>
      </c>
      <c r="K131" s="103"/>
      <c r="L131" s="89"/>
      <c r="M131" s="89"/>
      <c r="N131" s="89"/>
      <c r="O131" s="89"/>
      <c r="P131" s="89"/>
      <c r="Q131" s="89"/>
      <c r="R131" s="90"/>
      <c r="S131" s="89"/>
      <c r="T131" s="89"/>
      <c r="U131" s="89"/>
      <c r="V131" s="89"/>
      <c r="W131" s="89"/>
      <c r="X131" s="89"/>
      <c r="Y131" s="89"/>
      <c r="Z131" s="89"/>
      <c r="AA131" s="89"/>
      <c r="AB131" s="89"/>
      <c r="AC131" s="89"/>
    </row>
    <row r="132" spans="1:29" ht="35.65" customHeight="1" x14ac:dyDescent="0.25">
      <c r="A132" s="84" t="s">
        <v>311</v>
      </c>
      <c r="B132" s="85"/>
      <c r="C132" s="86"/>
      <c r="D132" s="86"/>
      <c r="E132" s="86"/>
      <c r="F132" s="727"/>
      <c r="G132" s="263"/>
      <c r="H132" s="263"/>
      <c r="I132" s="263"/>
      <c r="J132" s="263"/>
      <c r="K132" s="264"/>
      <c r="L132" s="74"/>
      <c r="M132" s="74"/>
      <c r="N132" s="74"/>
      <c r="O132" s="74"/>
      <c r="P132" s="74"/>
      <c r="Q132" s="74"/>
      <c r="R132" s="75"/>
      <c r="S132" s="74"/>
      <c r="T132" s="74"/>
      <c r="U132" s="74"/>
      <c r="V132" s="74"/>
      <c r="W132" s="74"/>
      <c r="X132" s="74"/>
      <c r="Y132" s="74"/>
      <c r="Z132" s="74"/>
      <c r="AA132" s="74"/>
      <c r="AB132" s="74"/>
      <c r="AC132" s="74"/>
    </row>
    <row r="133" spans="1:29" ht="82.5" customHeight="1" x14ac:dyDescent="0.25">
      <c r="A133" s="144" t="s">
        <v>312</v>
      </c>
      <c r="B133" s="77" t="s">
        <v>313</v>
      </c>
      <c r="C133" s="733">
        <v>142.6</v>
      </c>
      <c r="D133" s="733">
        <f>D45+D85</f>
        <v>494.19999999999982</v>
      </c>
      <c r="E133" s="733">
        <f>E45+E85</f>
        <v>479.09999999999945</v>
      </c>
      <c r="F133" s="81">
        <f>G133+H133+I133+J133</f>
        <v>256.75999999999976</v>
      </c>
      <c r="G133" s="81">
        <f>G45+G85</f>
        <v>4.1000000000001364</v>
      </c>
      <c r="H133" s="81">
        <f t="shared" ref="H133:J133" si="11">H45+H85</f>
        <v>91.499999999999773</v>
      </c>
      <c r="I133" s="81">
        <f t="shared" si="11"/>
        <v>109.09999999999991</v>
      </c>
      <c r="J133" s="81">
        <f t="shared" si="11"/>
        <v>52.059999999999945</v>
      </c>
      <c r="K133" s="103"/>
      <c r="L133" s="74"/>
      <c r="M133" s="74"/>
      <c r="N133" s="74"/>
      <c r="O133" s="74"/>
      <c r="P133" s="74"/>
      <c r="Q133" s="74"/>
      <c r="R133" s="75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</row>
    <row r="134" spans="1:29" ht="115.5" customHeight="1" x14ac:dyDescent="0.25">
      <c r="A134" s="144" t="s">
        <v>314</v>
      </c>
      <c r="B134" s="77" t="s">
        <v>315</v>
      </c>
      <c r="C134" s="102">
        <v>0</v>
      </c>
      <c r="D134" s="102">
        <v>0</v>
      </c>
      <c r="E134" s="102">
        <v>0</v>
      </c>
      <c r="F134" s="81">
        <f>SUM(G134:J134)</f>
        <v>0</v>
      </c>
      <c r="G134" s="102">
        <f>G112+G113-G115-G116</f>
        <v>0</v>
      </c>
      <c r="H134" s="102">
        <f>H112+H113-H115-H116</f>
        <v>0</v>
      </c>
      <c r="I134" s="102">
        <f>I112+I113-I115-I116</f>
        <v>0</v>
      </c>
      <c r="J134" s="102">
        <f>J112+J113-J115-J116</f>
        <v>0</v>
      </c>
      <c r="K134" s="188"/>
      <c r="L134" s="74"/>
      <c r="M134" s="74"/>
      <c r="N134" s="74"/>
      <c r="O134" s="74"/>
      <c r="P134" s="74"/>
      <c r="Q134" s="74"/>
      <c r="R134" s="75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</row>
    <row r="135" spans="1:29" ht="65.099999999999994" customHeight="1" x14ac:dyDescent="0.2">
      <c r="A135" s="144" t="s">
        <v>316</v>
      </c>
      <c r="B135" s="77" t="s">
        <v>317</v>
      </c>
      <c r="C135" s="733">
        <v>457</v>
      </c>
      <c r="D135" s="733">
        <v>0</v>
      </c>
      <c r="E135" s="733">
        <v>0</v>
      </c>
      <c r="F135" s="81">
        <f>F117-F120</f>
        <v>0</v>
      </c>
      <c r="G135" s="739">
        <f>G117-G120</f>
        <v>0</v>
      </c>
      <c r="H135" s="739">
        <f>H117-H120</f>
        <v>0</v>
      </c>
      <c r="I135" s="739">
        <f>I117-I120</f>
        <v>0</v>
      </c>
      <c r="J135" s="739">
        <f>J117-J120</f>
        <v>0</v>
      </c>
      <c r="K135" s="103"/>
      <c r="L135" s="89"/>
      <c r="M135" s="89"/>
      <c r="N135" s="89"/>
      <c r="O135" s="89"/>
      <c r="P135" s="89"/>
      <c r="Q135" s="89"/>
      <c r="R135" s="90"/>
      <c r="S135" s="89"/>
      <c r="T135" s="89"/>
      <c r="U135" s="89"/>
      <c r="V135" s="89"/>
      <c r="W135" s="89"/>
      <c r="X135" s="89"/>
      <c r="Y135" s="89"/>
      <c r="Z135" s="89"/>
      <c r="AA135" s="89"/>
      <c r="AB135" s="89"/>
      <c r="AC135" s="89"/>
    </row>
    <row r="136" spans="1:29" ht="43.15" customHeight="1" x14ac:dyDescent="0.25">
      <c r="A136" s="138" t="s">
        <v>318</v>
      </c>
      <c r="B136" s="92" t="s">
        <v>319</v>
      </c>
      <c r="C136" s="737">
        <f>ROUND(C6+C45+C112+C113+C117,2)</f>
        <v>7922.9</v>
      </c>
      <c r="D136" s="139">
        <f>ROUND(D6+D45+D112+D113+D117,1)</f>
        <v>6549.7</v>
      </c>
      <c r="E136" s="139">
        <f>ROUND(E6+E45+E112+E113+E117,1)</f>
        <v>6549.7</v>
      </c>
      <c r="F136" s="81">
        <f>G136+H136+I136+J136</f>
        <v>7193.8</v>
      </c>
      <c r="G136" s="139">
        <f>G6+G45+G112+G113+G117</f>
        <v>1697.7</v>
      </c>
      <c r="H136" s="139">
        <f>H6+H45+H112+H113+H117</f>
        <v>1959.6</v>
      </c>
      <c r="I136" s="139">
        <f>I6+I45+I112+I113+I117</f>
        <v>1876.5</v>
      </c>
      <c r="J136" s="139">
        <f>J6+J45+J112+J113+J117</f>
        <v>1660</v>
      </c>
      <c r="K136" s="265"/>
      <c r="L136" s="74"/>
      <c r="M136" s="74"/>
      <c r="N136" s="74"/>
      <c r="O136" s="74"/>
      <c r="P136" s="74"/>
      <c r="Q136" s="74"/>
      <c r="R136" s="75"/>
      <c r="S136" s="74"/>
      <c r="T136" s="74"/>
      <c r="U136" s="74"/>
      <c r="V136" s="74"/>
      <c r="W136" s="74"/>
      <c r="X136" s="74"/>
      <c r="Y136" s="74"/>
      <c r="Z136" s="74"/>
      <c r="AA136" s="74"/>
      <c r="AB136" s="74"/>
      <c r="AC136" s="74"/>
    </row>
    <row r="137" spans="1:29" ht="43.15" customHeight="1" x14ac:dyDescent="0.25">
      <c r="A137" s="138" t="s">
        <v>320</v>
      </c>
      <c r="B137" s="92" t="s">
        <v>321</v>
      </c>
      <c r="C137" s="737">
        <f>ROUND(C15-C53-C80-C85-C120-C126,1)</f>
        <v>9003.2999999999993</v>
      </c>
      <c r="D137" s="139">
        <f>ROUND(D15+D53+D80+D85+D120+D126,1)</f>
        <v>-6921.7</v>
      </c>
      <c r="E137" s="139">
        <f>ROUND(E15+E53+E80+E85+E120+E126,1)</f>
        <v>-6958.4</v>
      </c>
      <c r="F137" s="81">
        <f>SUM(G137:J137)</f>
        <v>-7949.24</v>
      </c>
      <c r="G137" s="139">
        <f>G85+G53</f>
        <v>-1957.1</v>
      </c>
      <c r="H137" s="139">
        <f>H85+H53</f>
        <v>-2127.7000000000003</v>
      </c>
      <c r="I137" s="139">
        <f>I85+I53</f>
        <v>-2020.2</v>
      </c>
      <c r="J137" s="139">
        <f>J85+J53</f>
        <v>-1844.24</v>
      </c>
      <c r="K137" s="265"/>
      <c r="L137" s="74"/>
      <c r="M137" s="74"/>
      <c r="N137" s="74"/>
      <c r="O137" s="74"/>
      <c r="P137" s="74"/>
      <c r="Q137" s="74"/>
      <c r="R137" s="75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</row>
    <row r="138" spans="1:29" ht="65.099999999999994" customHeight="1" x14ac:dyDescent="0.25">
      <c r="A138" s="84" t="s">
        <v>322</v>
      </c>
      <c r="B138" s="85"/>
      <c r="C138" s="263"/>
      <c r="D138" s="263"/>
      <c r="E138" s="263"/>
      <c r="F138" s="756"/>
      <c r="G138" s="263"/>
      <c r="H138" s="263"/>
      <c r="I138" s="263"/>
      <c r="J138" s="730"/>
      <c r="K138" s="264"/>
      <c r="L138" s="74"/>
      <c r="M138" s="74"/>
      <c r="N138" s="74"/>
      <c r="O138" s="74"/>
      <c r="P138" s="74"/>
      <c r="Q138" s="74"/>
      <c r="R138" s="75"/>
      <c r="S138" s="74"/>
      <c r="T138" s="74"/>
      <c r="U138" s="74"/>
      <c r="V138" s="74"/>
      <c r="W138" s="74"/>
      <c r="X138" s="74"/>
      <c r="Y138" s="74"/>
      <c r="Z138" s="74"/>
      <c r="AA138" s="74"/>
      <c r="AB138" s="74"/>
      <c r="AC138" s="74"/>
    </row>
    <row r="139" spans="1:29" ht="56.25" customHeight="1" x14ac:dyDescent="0.25">
      <c r="A139" s="144" t="s">
        <v>323</v>
      </c>
      <c r="B139" s="77" t="s">
        <v>324</v>
      </c>
      <c r="C139" s="739">
        <f>C140+C141</f>
        <v>293.10000000000002</v>
      </c>
      <c r="D139" s="739">
        <v>-18</v>
      </c>
      <c r="E139" s="739">
        <v>-18</v>
      </c>
      <c r="F139" s="81">
        <f>ROUND(SUM(G139:J139),1)</f>
        <v>-29.5</v>
      </c>
      <c r="G139" s="739">
        <f>G140+G141</f>
        <v>-8</v>
      </c>
      <c r="H139" s="739">
        <f t="shared" ref="H139:J139" si="12">H140+H141</f>
        <v>-7</v>
      </c>
      <c r="I139" s="739">
        <f t="shared" si="12"/>
        <v>-7</v>
      </c>
      <c r="J139" s="739">
        <f t="shared" si="12"/>
        <v>-7.5</v>
      </c>
      <c r="K139" s="103"/>
      <c r="L139" s="142"/>
      <c r="M139" s="142"/>
      <c r="N139" s="74"/>
      <c r="O139" s="74"/>
      <c r="P139" s="74"/>
      <c r="Q139" s="74"/>
      <c r="R139" s="75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</row>
    <row r="140" spans="1:29" ht="64.5" customHeight="1" x14ac:dyDescent="0.25">
      <c r="A140" s="144" t="s">
        <v>325</v>
      </c>
      <c r="B140" s="77" t="s">
        <v>326</v>
      </c>
      <c r="C140" s="739">
        <f>C16</f>
        <v>227.1</v>
      </c>
      <c r="D140" s="739">
        <v>-18</v>
      </c>
      <c r="E140" s="739">
        <v>-18</v>
      </c>
      <c r="F140" s="81">
        <f>ROUND(SUM(G140:J140),1)</f>
        <v>-29.5</v>
      </c>
      <c r="G140" s="739">
        <f>G100+G64</f>
        <v>-8</v>
      </c>
      <c r="H140" s="739">
        <f t="shared" ref="H140:J140" si="13">H100+H64</f>
        <v>-7</v>
      </c>
      <c r="I140" s="739">
        <f t="shared" si="13"/>
        <v>-7</v>
      </c>
      <c r="J140" s="739">
        <f t="shared" si="13"/>
        <v>-7.5</v>
      </c>
      <c r="K140" s="103"/>
      <c r="L140" s="74"/>
      <c r="M140" s="74"/>
      <c r="N140" s="74"/>
      <c r="O140" s="74"/>
      <c r="P140" s="74"/>
      <c r="Q140" s="74"/>
      <c r="R140" s="75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</row>
    <row r="141" spans="1:29" ht="54" customHeight="1" x14ac:dyDescent="0.25">
      <c r="A141" s="144" t="s">
        <v>327</v>
      </c>
      <c r="B141" s="77" t="s">
        <v>328</v>
      </c>
      <c r="C141" s="739">
        <v>66</v>
      </c>
      <c r="D141" s="739">
        <v>0</v>
      </c>
      <c r="E141" s="739">
        <v>0</v>
      </c>
      <c r="F141" s="81">
        <f>SUM(G141:J141)</f>
        <v>0</v>
      </c>
      <c r="G141" s="739">
        <f>G17+G71</f>
        <v>0</v>
      </c>
      <c r="H141" s="739">
        <f>H17+H71</f>
        <v>0</v>
      </c>
      <c r="I141" s="739">
        <f>I17+I71</f>
        <v>0</v>
      </c>
      <c r="J141" s="739">
        <f>J17+J71</f>
        <v>0</v>
      </c>
      <c r="K141" s="103"/>
      <c r="L141" s="74"/>
      <c r="M141" s="74"/>
      <c r="N141" s="74"/>
      <c r="O141" s="74"/>
      <c r="P141" s="74"/>
      <c r="Q141" s="74"/>
      <c r="R141" s="75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</row>
    <row r="142" spans="1:29" ht="44.45" customHeight="1" x14ac:dyDescent="0.25">
      <c r="A142" s="144" t="s">
        <v>329</v>
      </c>
      <c r="B142" s="77" t="s">
        <v>330</v>
      </c>
      <c r="C142" s="739">
        <v>5652.6</v>
      </c>
      <c r="D142" s="739">
        <v>-5368.6</v>
      </c>
      <c r="E142" s="739">
        <v>-5368.6</v>
      </c>
      <c r="F142" s="81">
        <f>ROUND(SUM(G142:J142),1)</f>
        <v>-5896.6</v>
      </c>
      <c r="G142" s="739">
        <f>G56+G96</f>
        <v>-1391.5</v>
      </c>
      <c r="H142" s="739">
        <f>H56+H96</f>
        <v>-1606.3</v>
      </c>
      <c r="I142" s="739">
        <f>I56+I96</f>
        <v>-1538.1000000000001</v>
      </c>
      <c r="J142" s="739">
        <f t="shared" ref="J142" si="14">J56+J96</f>
        <v>-1360.7</v>
      </c>
      <c r="K142" s="103"/>
      <c r="L142" s="74"/>
      <c r="M142" s="74"/>
      <c r="N142" s="74"/>
      <c r="O142" s="74"/>
      <c r="P142" s="74"/>
      <c r="Q142" s="74"/>
      <c r="R142" s="75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</row>
    <row r="143" spans="1:29" ht="46.5" customHeight="1" x14ac:dyDescent="0.25">
      <c r="A143" s="144" t="s">
        <v>331</v>
      </c>
      <c r="B143" s="77" t="s">
        <v>332</v>
      </c>
      <c r="C143" s="739">
        <v>1239.4000000000001</v>
      </c>
      <c r="D143" s="739">
        <v>-1181.0999999999999</v>
      </c>
      <c r="E143" s="739">
        <v>-1181.0999999999999</v>
      </c>
      <c r="F143" s="252">
        <f>ROUND(SUM(G143:J143),1)</f>
        <v>-1297.2</v>
      </c>
      <c r="G143" s="751">
        <f>G57+G97</f>
        <v>-306.20000000000005</v>
      </c>
      <c r="H143" s="751">
        <f t="shared" ref="H143:J143" si="15">H57+H97</f>
        <v>-353.3</v>
      </c>
      <c r="I143" s="751">
        <f t="shared" si="15"/>
        <v>-338.4</v>
      </c>
      <c r="J143" s="751">
        <f t="shared" si="15"/>
        <v>-299.33999999999997</v>
      </c>
      <c r="K143" s="103"/>
      <c r="L143" s="74"/>
      <c r="M143" s="74"/>
      <c r="N143" s="74"/>
      <c r="O143" s="74"/>
      <c r="P143" s="74"/>
      <c r="Q143" s="74"/>
      <c r="R143" s="75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</row>
    <row r="144" spans="1:29" ht="43.15" customHeight="1" x14ac:dyDescent="0.25">
      <c r="A144" s="144" t="s">
        <v>333</v>
      </c>
      <c r="B144" s="77" t="s">
        <v>334</v>
      </c>
      <c r="C144" s="739">
        <v>295.89999999999998</v>
      </c>
      <c r="D144" s="739">
        <f>D20+D58+D108+D124</f>
        <v>0</v>
      </c>
      <c r="E144" s="739">
        <f>E20+E58+E108+E124</f>
        <v>-34.700000000000003</v>
      </c>
      <c r="F144" s="81">
        <f>ROUND(SUM(G144:J144),1)</f>
        <v>-46.4</v>
      </c>
      <c r="G144" s="739">
        <f>G20+G58+G108</f>
        <v>-11.7</v>
      </c>
      <c r="H144" s="739">
        <f>H20+H58+H108</f>
        <v>-11.7</v>
      </c>
      <c r="I144" s="739">
        <f>I20+I58+I108</f>
        <v>-11.5</v>
      </c>
      <c r="J144" s="739">
        <f>J20+J58+J108</f>
        <v>-11.5</v>
      </c>
      <c r="K144" s="103"/>
      <c r="L144" s="74"/>
      <c r="M144" s="74"/>
      <c r="N144" s="74"/>
      <c r="O144" s="74"/>
      <c r="P144" s="74"/>
      <c r="Q144" s="74"/>
      <c r="R144" s="75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</row>
    <row r="145" spans="1:29" ht="43.15" customHeight="1" x14ac:dyDescent="0.25">
      <c r="A145" s="144" t="s">
        <v>335</v>
      </c>
      <c r="B145" s="266" t="s">
        <v>336</v>
      </c>
      <c r="C145" s="748">
        <v>1085.5</v>
      </c>
      <c r="D145" s="748">
        <v>-354</v>
      </c>
      <c r="E145" s="748">
        <v>-356</v>
      </c>
      <c r="F145" s="780">
        <f>SUM(G145:J145)</f>
        <v>-679.5</v>
      </c>
      <c r="G145" s="781">
        <f>-239.7</f>
        <v>-239.7</v>
      </c>
      <c r="H145" s="781">
        <v>-149.4</v>
      </c>
      <c r="I145" s="781">
        <v>-125.2</v>
      </c>
      <c r="J145" s="781">
        <v>-165.2</v>
      </c>
      <c r="K145" s="103"/>
      <c r="L145" s="213"/>
      <c r="M145" s="213"/>
      <c r="N145" s="74"/>
      <c r="O145" s="74"/>
      <c r="P145" s="74"/>
      <c r="Q145" s="74"/>
      <c r="R145" s="75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</row>
    <row r="146" spans="1:29" ht="53.45" customHeight="1" x14ac:dyDescent="0.25">
      <c r="A146" s="267" t="s">
        <v>337</v>
      </c>
      <c r="B146" s="81" t="s">
        <v>338</v>
      </c>
      <c r="C146" s="139">
        <f>ROUND(SUM(C139,C142:C145),2)</f>
        <v>8566.5</v>
      </c>
      <c r="D146" s="139">
        <f>ROUND(SUM(D139,D142:D145),2)</f>
        <v>-6921.7</v>
      </c>
      <c r="E146" s="139">
        <f>ROUND(SUM(E139,E142:E145),2)</f>
        <v>-6958.4</v>
      </c>
      <c r="F146" s="81">
        <f>SUM(G146:J146)</f>
        <v>-7949.24</v>
      </c>
      <c r="G146" s="139">
        <f>SUM(G140:G145)</f>
        <v>-1957.1000000000001</v>
      </c>
      <c r="H146" s="139">
        <f t="shared" ref="H146:J146" si="16">SUM(H140:H145)</f>
        <v>-2127.6999999999998</v>
      </c>
      <c r="I146" s="139">
        <f t="shared" si="16"/>
        <v>-2020.2</v>
      </c>
      <c r="J146" s="139">
        <f t="shared" si="16"/>
        <v>-1844.24</v>
      </c>
      <c r="K146" s="268"/>
      <c r="L146" s="74"/>
      <c r="M146" s="74"/>
      <c r="N146" s="74"/>
      <c r="O146" s="74"/>
      <c r="P146" s="74"/>
      <c r="Q146" s="74"/>
      <c r="R146" s="75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</row>
    <row r="147" spans="1:29" ht="13.9" customHeight="1" x14ac:dyDescent="0.45">
      <c r="A147" s="269"/>
      <c r="B147" s="270"/>
      <c r="C147" s="271"/>
      <c r="D147" s="272"/>
      <c r="E147" s="273"/>
      <c r="F147" s="274"/>
      <c r="G147" s="275"/>
      <c r="H147" s="276"/>
      <c r="I147" s="277"/>
      <c r="J147" s="276"/>
      <c r="K147" s="278"/>
      <c r="L147" s="74"/>
      <c r="M147" s="74"/>
      <c r="N147" s="74"/>
      <c r="O147" s="74"/>
      <c r="P147" s="74"/>
      <c r="Q147" s="74"/>
      <c r="R147" s="75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</row>
    <row r="148" spans="1:29" ht="53.45" customHeight="1" x14ac:dyDescent="0.45">
      <c r="A148" s="269" t="s">
        <v>85</v>
      </c>
      <c r="B148" s="270"/>
      <c r="C148" s="279"/>
      <c r="D148" s="279"/>
      <c r="E148" s="279"/>
      <c r="F148" s="806" t="s">
        <v>86</v>
      </c>
      <c r="G148" s="806"/>
      <c r="H148" s="806"/>
      <c r="I148" s="692"/>
      <c r="J148" s="692"/>
      <c r="K148" s="278"/>
      <c r="L148" s="74"/>
      <c r="M148" s="74"/>
      <c r="N148" s="74"/>
      <c r="O148" s="74"/>
      <c r="P148" s="74"/>
      <c r="Q148" s="74"/>
      <c r="R148" s="75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</row>
    <row r="149" spans="1:29" ht="39.75" customHeight="1" x14ac:dyDescent="0.45">
      <c r="A149" s="281" t="s">
        <v>339</v>
      </c>
      <c r="B149" s="282"/>
      <c r="C149" s="283"/>
      <c r="D149" s="283"/>
      <c r="E149" s="284"/>
      <c r="F149" s="274"/>
      <c r="G149" s="285"/>
      <c r="H149" s="285"/>
      <c r="I149" s="285"/>
      <c r="J149" s="285"/>
      <c r="K149" s="278"/>
      <c r="L149" s="89"/>
      <c r="M149" s="89"/>
      <c r="N149" s="89"/>
      <c r="O149" s="89"/>
      <c r="P149" s="89"/>
      <c r="Q149" s="89"/>
      <c r="R149" s="90"/>
      <c r="S149" s="89"/>
      <c r="T149" s="89"/>
      <c r="U149" s="89"/>
      <c r="V149" s="89"/>
      <c r="W149" s="89"/>
      <c r="X149" s="89"/>
      <c r="Y149" s="89"/>
      <c r="Z149" s="89"/>
      <c r="AA149" s="89"/>
      <c r="AB149" s="89"/>
      <c r="AC149" s="89"/>
    </row>
    <row r="150" spans="1:29" ht="24.75" customHeight="1" x14ac:dyDescent="0.25">
      <c r="A150" s="286" t="s">
        <v>340</v>
      </c>
      <c r="B150" s="287"/>
      <c r="C150" s="271"/>
      <c r="D150" s="271"/>
      <c r="E150" s="273"/>
      <c r="F150" s="274"/>
      <c r="G150" s="280" t="s">
        <v>341</v>
      </c>
      <c r="H150" s="280"/>
      <c r="I150" s="280"/>
      <c r="J150" s="280"/>
      <c r="K150" s="278"/>
      <c r="L150" s="74"/>
      <c r="M150" s="74"/>
      <c r="N150" s="74"/>
      <c r="O150" s="74"/>
      <c r="P150" s="74"/>
      <c r="Q150" s="74"/>
      <c r="R150" s="75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</row>
    <row r="151" spans="1:29" ht="28.5" customHeight="1" x14ac:dyDescent="0.25">
      <c r="A151" s="286" t="s">
        <v>342</v>
      </c>
      <c r="B151" s="287"/>
      <c r="C151" s="271"/>
      <c r="D151" s="271"/>
      <c r="E151" s="273"/>
      <c r="F151" s="274"/>
      <c r="G151" s="280"/>
      <c r="H151" s="280"/>
      <c r="I151" s="280"/>
      <c r="J151" s="280"/>
      <c r="K151" s="278"/>
      <c r="L151" s="74"/>
      <c r="M151" s="74"/>
      <c r="N151" s="74"/>
      <c r="O151" s="74"/>
      <c r="P151" s="74"/>
      <c r="Q151" s="74"/>
      <c r="R151" s="75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</row>
    <row r="152" spans="1:29" ht="21" customHeight="1" x14ac:dyDescent="0.3"/>
    <row r="153" spans="1:29" ht="24" customHeight="1" x14ac:dyDescent="0.3"/>
    <row r="154" spans="1:29" ht="21.75" customHeight="1" x14ac:dyDescent="0.3"/>
    <row r="155" spans="1:29" ht="39.75" customHeight="1" x14ac:dyDescent="0.3"/>
    <row r="156" spans="1:29" ht="39.75" customHeight="1" x14ac:dyDescent="0.3"/>
    <row r="157" spans="1:29" ht="39.75" customHeight="1" x14ac:dyDescent="0.3"/>
    <row r="158" spans="1:29" ht="39.75" customHeight="1" x14ac:dyDescent="0.3"/>
    <row r="159" spans="1:29" ht="39.75" customHeight="1" x14ac:dyDescent="0.3"/>
    <row r="160" spans="1:29" ht="39.75" customHeight="1" x14ac:dyDescent="0.3"/>
    <row r="161" ht="39.75" customHeight="1" x14ac:dyDescent="0.3"/>
    <row r="162" ht="39.75" customHeight="1" x14ac:dyDescent="0.3"/>
    <row r="163" ht="39.75" customHeight="1" x14ac:dyDescent="0.3"/>
    <row r="164" ht="39.75" customHeight="1" x14ac:dyDescent="0.3"/>
    <row r="165" ht="39.75" customHeight="1" x14ac:dyDescent="0.3"/>
    <row r="166" ht="39.75" customHeight="1" x14ac:dyDescent="0.3"/>
    <row r="167" ht="39.75" customHeight="1" x14ac:dyDescent="0.3"/>
    <row r="168" ht="39.75" customHeight="1" x14ac:dyDescent="0.3"/>
    <row r="169" ht="39.75" customHeight="1" x14ac:dyDescent="0.3"/>
    <row r="170" ht="39.75" customHeight="1" x14ac:dyDescent="0.3"/>
    <row r="171" ht="39.75" customHeight="1" x14ac:dyDescent="0.3"/>
    <row r="172" ht="39.75" customHeight="1" x14ac:dyDescent="0.3"/>
    <row r="173" ht="39.75" customHeight="1" x14ac:dyDescent="0.3"/>
    <row r="174" ht="39.75" customHeight="1" x14ac:dyDescent="0.3"/>
    <row r="175" ht="39.75" customHeight="1" x14ac:dyDescent="0.3"/>
    <row r="176" ht="39.75" customHeight="1" x14ac:dyDescent="0.3"/>
    <row r="177" ht="39.75" customHeight="1" x14ac:dyDescent="0.3"/>
    <row r="178" ht="39.75" customHeight="1" x14ac:dyDescent="0.3"/>
    <row r="179" ht="39.75" customHeight="1" x14ac:dyDescent="0.3"/>
    <row r="180" ht="39.75" customHeight="1" x14ac:dyDescent="0.3"/>
    <row r="181" ht="39.75" customHeight="1" x14ac:dyDescent="0.3"/>
    <row r="182" ht="39.75" customHeight="1" x14ac:dyDescent="0.3"/>
    <row r="183" ht="39.75" customHeight="1" x14ac:dyDescent="0.3"/>
    <row r="184" ht="39.75" customHeight="1" x14ac:dyDescent="0.3"/>
    <row r="185" ht="39.75" customHeight="1" x14ac:dyDescent="0.3"/>
    <row r="186" ht="39.75" customHeight="1" x14ac:dyDescent="0.3"/>
    <row r="187" ht="39.75" customHeight="1" x14ac:dyDescent="0.3"/>
    <row r="188" ht="39.75" customHeight="1" x14ac:dyDescent="0.3"/>
    <row r="189" ht="39.75" customHeight="1" x14ac:dyDescent="0.3"/>
    <row r="190" ht="39.75" customHeight="1" x14ac:dyDescent="0.3"/>
    <row r="191" ht="39.75" customHeight="1" x14ac:dyDescent="0.3"/>
    <row r="192" ht="39.75" customHeight="1" x14ac:dyDescent="0.3"/>
    <row r="193" ht="39.75" customHeight="1" x14ac:dyDescent="0.3"/>
    <row r="194" ht="39.75" customHeight="1" x14ac:dyDescent="0.3"/>
    <row r="195" ht="39.75" customHeight="1" x14ac:dyDescent="0.3"/>
    <row r="196" ht="39.75" customHeight="1" x14ac:dyDescent="0.3"/>
    <row r="197" ht="39.75" customHeight="1" x14ac:dyDescent="0.3"/>
    <row r="198" ht="39.75" customHeight="1" x14ac:dyDescent="0.3"/>
    <row r="199" ht="39.75" customHeight="1" x14ac:dyDescent="0.3"/>
    <row r="200" ht="39.75" customHeight="1" x14ac:dyDescent="0.3"/>
    <row r="201" ht="39.75" customHeight="1" x14ac:dyDescent="0.3"/>
    <row r="202" ht="39.75" customHeight="1" x14ac:dyDescent="0.3"/>
    <row r="203" ht="39.75" customHeight="1" x14ac:dyDescent="0.3"/>
    <row r="204" ht="39.75" customHeight="1" x14ac:dyDescent="0.3"/>
    <row r="205" ht="39.75" customHeight="1" x14ac:dyDescent="0.3"/>
    <row r="206" ht="39.75" customHeight="1" x14ac:dyDescent="0.3"/>
    <row r="207" ht="39.75" customHeight="1" x14ac:dyDescent="0.3"/>
    <row r="208" ht="39.75" customHeight="1" x14ac:dyDescent="0.3"/>
    <row r="209" ht="39.75" customHeight="1" x14ac:dyDescent="0.3"/>
    <row r="210" ht="39.75" customHeight="1" x14ac:dyDescent="0.3"/>
    <row r="211" ht="39.75" customHeight="1" x14ac:dyDescent="0.3"/>
    <row r="212" ht="39.75" customHeight="1" x14ac:dyDescent="0.3"/>
    <row r="213" ht="39.75" customHeight="1" x14ac:dyDescent="0.3"/>
    <row r="214" ht="39.75" customHeight="1" x14ac:dyDescent="0.3"/>
    <row r="215" ht="39.75" customHeight="1" x14ac:dyDescent="0.3"/>
    <row r="216" ht="39.75" customHeight="1" x14ac:dyDescent="0.3"/>
    <row r="217" ht="39.75" customHeight="1" x14ac:dyDescent="0.3"/>
    <row r="218" ht="39.75" customHeight="1" x14ac:dyDescent="0.3"/>
    <row r="219" ht="39.75" customHeight="1" x14ac:dyDescent="0.3"/>
    <row r="220" ht="39.75" customHeight="1" x14ac:dyDescent="0.3"/>
    <row r="221" ht="39.75" customHeight="1" x14ac:dyDescent="0.3"/>
    <row r="222" ht="39.75" customHeight="1" x14ac:dyDescent="0.3"/>
    <row r="223" ht="39.75" customHeight="1" x14ac:dyDescent="0.3"/>
    <row r="224" ht="39.75" customHeight="1" x14ac:dyDescent="0.3"/>
    <row r="225" ht="39.75" customHeight="1" x14ac:dyDescent="0.3"/>
    <row r="226" ht="39.75" customHeight="1" x14ac:dyDescent="0.3"/>
    <row r="227" ht="39.75" customHeight="1" x14ac:dyDescent="0.3"/>
    <row r="228" ht="39.75" customHeight="1" x14ac:dyDescent="0.3"/>
    <row r="229" ht="39.75" customHeight="1" x14ac:dyDescent="0.3"/>
    <row r="230" ht="39.75" customHeight="1" x14ac:dyDescent="0.3"/>
    <row r="231" ht="39.75" customHeight="1" x14ac:dyDescent="0.3"/>
    <row r="232" ht="39.75" customHeight="1" x14ac:dyDescent="0.3"/>
    <row r="233" ht="39.75" customHeight="1" x14ac:dyDescent="0.3"/>
    <row r="234" ht="39.75" customHeight="1" x14ac:dyDescent="0.3"/>
    <row r="235" ht="39.75" customHeight="1" x14ac:dyDescent="0.3"/>
    <row r="236" ht="39.75" customHeight="1" x14ac:dyDescent="0.3"/>
    <row r="237" ht="39.75" customHeight="1" x14ac:dyDescent="0.3"/>
    <row r="238" ht="39.75" customHeight="1" x14ac:dyDescent="0.3"/>
    <row r="239" ht="39.75" customHeight="1" x14ac:dyDescent="0.3"/>
    <row r="240" ht="39.75" customHeight="1" x14ac:dyDescent="0.3"/>
    <row r="241" ht="39.75" customHeight="1" x14ac:dyDescent="0.3"/>
    <row r="242" ht="39.75" customHeight="1" x14ac:dyDescent="0.3"/>
    <row r="243" ht="39.75" customHeight="1" x14ac:dyDescent="0.3"/>
    <row r="244" ht="39.75" customHeight="1" x14ac:dyDescent="0.3"/>
    <row r="245" ht="39.75" customHeight="1" x14ac:dyDescent="0.3"/>
    <row r="246" ht="39.75" customHeight="1" x14ac:dyDescent="0.3"/>
    <row r="247" ht="39.75" customHeight="1" x14ac:dyDescent="0.3"/>
    <row r="248" ht="39.75" customHeight="1" x14ac:dyDescent="0.3"/>
    <row r="249" ht="39.75" customHeight="1" x14ac:dyDescent="0.3"/>
    <row r="250" ht="39.75" customHeight="1" x14ac:dyDescent="0.3"/>
    <row r="251" ht="39.75" customHeight="1" x14ac:dyDescent="0.3"/>
    <row r="252" ht="39.75" customHeight="1" x14ac:dyDescent="0.3"/>
    <row r="253" ht="39.75" customHeight="1" x14ac:dyDescent="0.3"/>
    <row r="254" ht="39.75" customHeight="1" x14ac:dyDescent="0.3"/>
    <row r="255" ht="39.75" customHeight="1" x14ac:dyDescent="0.3"/>
    <row r="256" ht="39.75" customHeight="1" x14ac:dyDescent="0.3"/>
    <row r="257" ht="39.75" customHeight="1" x14ac:dyDescent="0.3"/>
    <row r="258" ht="39.75" customHeight="1" x14ac:dyDescent="0.3"/>
    <row r="259" ht="39.75" customHeight="1" x14ac:dyDescent="0.3"/>
    <row r="260" ht="39.75" customHeight="1" x14ac:dyDescent="0.3"/>
    <row r="261" ht="39.75" customHeight="1" x14ac:dyDescent="0.3"/>
    <row r="262" ht="39.75" customHeight="1" x14ac:dyDescent="0.3"/>
    <row r="263" ht="39.75" customHeight="1" x14ac:dyDescent="0.3"/>
    <row r="264" ht="39.75" customHeight="1" x14ac:dyDescent="0.3"/>
    <row r="265" ht="39.75" customHeight="1" x14ac:dyDescent="0.3"/>
    <row r="266" ht="39.75" customHeight="1" x14ac:dyDescent="0.3"/>
    <row r="267" ht="39.75" customHeight="1" x14ac:dyDescent="0.3"/>
    <row r="268" ht="39.75" customHeight="1" x14ac:dyDescent="0.3"/>
    <row r="269" ht="39.75" customHeight="1" x14ac:dyDescent="0.3"/>
    <row r="270" ht="39.75" customHeight="1" x14ac:dyDescent="0.3"/>
    <row r="271" ht="39.75" customHeight="1" x14ac:dyDescent="0.3"/>
    <row r="272" ht="39.75" customHeight="1" x14ac:dyDescent="0.3"/>
    <row r="273" ht="39.75" customHeight="1" x14ac:dyDescent="0.3"/>
    <row r="274" ht="39.75" customHeight="1" x14ac:dyDescent="0.3"/>
    <row r="275" ht="39.75" customHeight="1" x14ac:dyDescent="0.3"/>
    <row r="276" ht="39.75" customHeight="1" x14ac:dyDescent="0.3"/>
    <row r="277" ht="39.75" customHeight="1" x14ac:dyDescent="0.3"/>
    <row r="278" ht="39.75" customHeight="1" x14ac:dyDescent="0.3"/>
    <row r="279" ht="39.75" customHeight="1" x14ac:dyDescent="0.3"/>
    <row r="280" ht="39.75" customHeight="1" x14ac:dyDescent="0.3"/>
    <row r="281" ht="39.75" customHeight="1" x14ac:dyDescent="0.3"/>
    <row r="282" ht="39.75" customHeight="1" x14ac:dyDescent="0.3"/>
    <row r="283" ht="39.75" customHeight="1" x14ac:dyDescent="0.3"/>
    <row r="284" ht="39.75" customHeight="1" x14ac:dyDescent="0.3"/>
    <row r="285" ht="39.75" customHeight="1" x14ac:dyDescent="0.3"/>
    <row r="286" ht="39.75" customHeight="1" x14ac:dyDescent="0.3"/>
    <row r="287" ht="39.75" customHeight="1" x14ac:dyDescent="0.3"/>
    <row r="288" ht="39.75" customHeight="1" x14ac:dyDescent="0.3"/>
    <row r="289" ht="39.75" customHeight="1" x14ac:dyDescent="0.3"/>
    <row r="290" ht="39.75" customHeight="1" x14ac:dyDescent="0.3"/>
    <row r="291" ht="39.75" customHeight="1" x14ac:dyDescent="0.3"/>
    <row r="292" ht="39.75" customHeight="1" x14ac:dyDescent="0.3"/>
    <row r="293" ht="39.75" customHeight="1" x14ac:dyDescent="0.3"/>
    <row r="294" ht="39.75" customHeight="1" x14ac:dyDescent="0.3"/>
    <row r="295" ht="39.75" customHeight="1" x14ac:dyDescent="0.3"/>
    <row r="296" ht="39.75" customHeight="1" x14ac:dyDescent="0.3"/>
    <row r="297" ht="39.75" customHeight="1" x14ac:dyDescent="0.3"/>
    <row r="298" ht="39.75" customHeight="1" x14ac:dyDescent="0.3"/>
    <row r="299" ht="39.75" customHeight="1" x14ac:dyDescent="0.3"/>
    <row r="300" ht="39.75" customHeight="1" x14ac:dyDescent="0.3"/>
    <row r="301" ht="39.75" customHeight="1" x14ac:dyDescent="0.3"/>
    <row r="302" ht="39.75" customHeight="1" x14ac:dyDescent="0.3"/>
    <row r="303" ht="39.75" customHeight="1" x14ac:dyDescent="0.3"/>
    <row r="304" ht="39.75" customHeight="1" x14ac:dyDescent="0.3"/>
    <row r="305" ht="39.75" customHeight="1" x14ac:dyDescent="0.3"/>
    <row r="306" ht="39.75" customHeight="1" x14ac:dyDescent="0.3"/>
    <row r="307" ht="39.75" customHeight="1" x14ac:dyDescent="0.3"/>
    <row r="308" ht="39.75" customHeight="1" x14ac:dyDescent="0.3"/>
    <row r="309" ht="39.75" customHeight="1" x14ac:dyDescent="0.3"/>
    <row r="310" ht="39.75" customHeight="1" x14ac:dyDescent="0.3"/>
    <row r="311" ht="39.75" customHeight="1" x14ac:dyDescent="0.3"/>
    <row r="312" ht="39.75" customHeight="1" x14ac:dyDescent="0.3"/>
    <row r="313" ht="39.75" customHeight="1" x14ac:dyDescent="0.3"/>
    <row r="314" ht="39.75" customHeight="1" x14ac:dyDescent="0.3"/>
    <row r="315" ht="39.75" customHeight="1" x14ac:dyDescent="0.3"/>
    <row r="316" ht="39.75" customHeight="1" x14ac:dyDescent="0.3"/>
    <row r="317" ht="39.75" customHeight="1" x14ac:dyDescent="0.3"/>
    <row r="318" ht="39.75" customHeight="1" x14ac:dyDescent="0.3"/>
    <row r="319" ht="39.75" customHeight="1" x14ac:dyDescent="0.3"/>
    <row r="320" ht="39.75" customHeight="1" x14ac:dyDescent="0.3"/>
    <row r="321" ht="39.75" customHeight="1" x14ac:dyDescent="0.3"/>
    <row r="322" ht="39.75" customHeight="1" x14ac:dyDescent="0.3"/>
    <row r="323" ht="39.75" customHeight="1" x14ac:dyDescent="0.3"/>
    <row r="324" ht="39.75" customHeight="1" x14ac:dyDescent="0.3"/>
    <row r="325" ht="39.75" customHeight="1" x14ac:dyDescent="0.3"/>
    <row r="326" ht="39.75" customHeight="1" x14ac:dyDescent="0.3"/>
    <row r="327" ht="39.75" customHeight="1" x14ac:dyDescent="0.3"/>
    <row r="328" ht="39.75" customHeight="1" x14ac:dyDescent="0.3"/>
    <row r="329" ht="39.75" customHeight="1" x14ac:dyDescent="0.3"/>
    <row r="330" ht="39.75" customHeight="1" x14ac:dyDescent="0.3"/>
    <row r="331" ht="39.75" customHeight="1" x14ac:dyDescent="0.3"/>
    <row r="332" ht="39.75" customHeight="1" x14ac:dyDescent="0.3"/>
    <row r="333" ht="39.75" customHeight="1" x14ac:dyDescent="0.3"/>
    <row r="334" ht="39.75" customHeight="1" x14ac:dyDescent="0.3"/>
    <row r="335" ht="39.75" customHeight="1" x14ac:dyDescent="0.3"/>
    <row r="336" ht="39.75" customHeight="1" x14ac:dyDescent="0.3"/>
    <row r="337" ht="39.75" customHeight="1" x14ac:dyDescent="0.3"/>
    <row r="338" ht="39.75" customHeight="1" x14ac:dyDescent="0.3"/>
    <row r="339" ht="39.75" customHeight="1" x14ac:dyDescent="0.3"/>
    <row r="340" ht="39.75" customHeight="1" x14ac:dyDescent="0.3"/>
    <row r="341" ht="39.75" customHeight="1" x14ac:dyDescent="0.3"/>
    <row r="342" ht="39.75" customHeight="1" x14ac:dyDescent="0.3"/>
    <row r="343" ht="39.75" customHeight="1" x14ac:dyDescent="0.3"/>
    <row r="344" ht="39.75" customHeight="1" x14ac:dyDescent="0.3"/>
    <row r="345" ht="39.75" customHeight="1" x14ac:dyDescent="0.3"/>
    <row r="346" ht="39.75" customHeight="1" x14ac:dyDescent="0.3"/>
    <row r="347" ht="39.75" customHeight="1" x14ac:dyDescent="0.3"/>
    <row r="348" ht="39.75" customHeight="1" x14ac:dyDescent="0.3"/>
    <row r="349" ht="39.75" customHeight="1" x14ac:dyDescent="0.3"/>
    <row r="350" ht="39.75" customHeight="1" x14ac:dyDescent="0.3"/>
    <row r="351" ht="39.75" customHeight="1" x14ac:dyDescent="0.3"/>
    <row r="352" ht="39.75" customHeight="1" x14ac:dyDescent="0.3"/>
    <row r="353" ht="39.75" customHeight="1" x14ac:dyDescent="0.3"/>
    <row r="354" ht="39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</sheetData>
  <mergeCells count="14">
    <mergeCell ref="F148:H148"/>
    <mergeCell ref="M118:O118"/>
    <mergeCell ref="K2:K3"/>
    <mergeCell ref="K18:K19"/>
    <mergeCell ref="L18:L19"/>
    <mergeCell ref="K92:K93"/>
    <mergeCell ref="L92:L93"/>
    <mergeCell ref="A1:J1"/>
    <mergeCell ref="A2:A3"/>
    <mergeCell ref="B2:B3"/>
    <mergeCell ref="C2:C3"/>
    <mergeCell ref="D2:D3"/>
    <mergeCell ref="E2:E3"/>
    <mergeCell ref="G2:J2"/>
  </mergeCells>
  <phoneticPr fontId="119" type="noConversion"/>
  <printOptions horizontalCentered="1"/>
  <pageMargins left="0.9055118110236221" right="0.19685039370078741" top="0.55118110236220474" bottom="0.55118110236220474" header="0.11811023622047245" footer="0.11811023622047245"/>
  <pageSetup paperSize="9" scale="29" firstPageNumber="0" fitToHeight="0" pageOrder="overThenDown" orientation="portrait" horizontalDpi="300" verticalDpi="300" r:id="rId1"/>
  <rowBreaks count="3" manualBreakCount="3">
    <brk id="41" max="10" man="1"/>
    <brk id="76" max="10" man="1"/>
    <brk id="11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99"/>
    <pageSetUpPr fitToPage="1"/>
  </sheetPr>
  <dimension ref="A1:Z1000"/>
  <sheetViews>
    <sheetView view="pageBreakPreview" topLeftCell="A19" zoomScale="70" zoomScaleNormal="77" zoomScalePageLayoutView="70" workbookViewId="0">
      <selection activeCell="I31" sqref="I31"/>
    </sheetView>
  </sheetViews>
  <sheetFormatPr defaultRowHeight="12.75" x14ac:dyDescent="0.2"/>
  <cols>
    <col min="1" max="1" width="43.7109375" customWidth="1"/>
    <col min="2" max="2" width="12.42578125" customWidth="1"/>
    <col min="3" max="3" width="17.7109375" customWidth="1"/>
    <col min="4" max="4" width="16" customWidth="1"/>
    <col min="5" max="5" width="14.85546875" customWidth="1"/>
    <col min="6" max="6" width="16.42578125" customWidth="1"/>
    <col min="7" max="7" width="14.28515625" customWidth="1"/>
    <col min="8" max="8" width="16.42578125" customWidth="1"/>
    <col min="9" max="9" width="15.140625" customWidth="1"/>
    <col min="10" max="10" width="18.5703125" customWidth="1"/>
    <col min="11" max="11" width="29.140625" customWidth="1"/>
    <col min="12" max="12" width="9.140625" customWidth="1"/>
    <col min="13" max="20" width="8.85546875" customWidth="1"/>
    <col min="21" max="26" width="7.7109375" customWidth="1"/>
    <col min="27" max="1025" width="12.140625" customWidth="1"/>
  </cols>
  <sheetData>
    <row r="1" spans="1:26" ht="26.25" customHeight="1" x14ac:dyDescent="0.2">
      <c r="A1" s="814" t="s">
        <v>56</v>
      </c>
      <c r="B1" s="814"/>
      <c r="C1" s="814"/>
      <c r="D1" s="814"/>
      <c r="E1" s="814"/>
      <c r="F1" s="814"/>
      <c r="G1" s="814"/>
      <c r="H1" s="814"/>
      <c r="I1" s="814"/>
      <c r="J1" s="814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</row>
    <row r="2" spans="1:26" ht="24" customHeight="1" x14ac:dyDescent="0.2">
      <c r="A2" s="815" t="s">
        <v>36</v>
      </c>
      <c r="B2" s="816" t="s">
        <v>37</v>
      </c>
      <c r="C2" s="815" t="s">
        <v>38</v>
      </c>
      <c r="D2" s="815" t="s">
        <v>39</v>
      </c>
      <c r="E2" s="817" t="s">
        <v>40</v>
      </c>
      <c r="F2" s="815" t="s">
        <v>88</v>
      </c>
      <c r="G2" s="815" t="s">
        <v>89</v>
      </c>
      <c r="H2" s="815"/>
      <c r="I2" s="815"/>
      <c r="J2" s="815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</row>
    <row r="3" spans="1:26" ht="77.25" customHeight="1" x14ac:dyDescent="0.2">
      <c r="A3" s="815"/>
      <c r="B3" s="815"/>
      <c r="C3" s="815"/>
      <c r="D3" s="815"/>
      <c r="E3" s="815"/>
      <c r="F3" s="815"/>
      <c r="G3" s="290" t="s">
        <v>343</v>
      </c>
      <c r="H3" s="290" t="s">
        <v>344</v>
      </c>
      <c r="I3" s="290" t="s">
        <v>345</v>
      </c>
      <c r="J3" s="290" t="s">
        <v>346</v>
      </c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</row>
    <row r="4" spans="1:26" ht="18.75" x14ac:dyDescent="0.2">
      <c r="A4" s="1">
        <v>1</v>
      </c>
      <c r="B4" s="291" t="s">
        <v>95</v>
      </c>
      <c r="C4" s="1">
        <v>3</v>
      </c>
      <c r="D4" s="1">
        <v>4</v>
      </c>
      <c r="E4" s="292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</row>
    <row r="5" spans="1:26" ht="18.75" customHeight="1" x14ac:dyDescent="0.2">
      <c r="A5" s="812" t="s">
        <v>347</v>
      </c>
      <c r="B5" s="812"/>
      <c r="C5" s="812"/>
      <c r="D5" s="812"/>
      <c r="E5" s="812"/>
      <c r="F5" s="812"/>
      <c r="G5" s="812"/>
      <c r="H5" s="812"/>
      <c r="I5" s="812"/>
      <c r="J5" s="812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</row>
    <row r="6" spans="1:26" ht="56.25" x14ac:dyDescent="0.2">
      <c r="A6" s="293" t="s">
        <v>348</v>
      </c>
      <c r="B6" s="294" t="s">
        <v>349</v>
      </c>
      <c r="C6" s="295">
        <v>-55</v>
      </c>
      <c r="D6" s="295">
        <v>-292.7</v>
      </c>
      <c r="E6" s="295">
        <v>-292.7</v>
      </c>
      <c r="F6" s="296">
        <v>-292.7</v>
      </c>
      <c r="G6" s="626">
        <v>-292.7</v>
      </c>
      <c r="H6" s="626">
        <f>G16</f>
        <v>-552.09999999999991</v>
      </c>
      <c r="I6" s="626">
        <f>H16</f>
        <v>-720.2</v>
      </c>
      <c r="J6" s="626">
        <f>I16</f>
        <v>-863.90000000000009</v>
      </c>
      <c r="K6" s="289"/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</row>
    <row r="7" spans="1:26" ht="37.5" x14ac:dyDescent="0.2">
      <c r="A7" s="293" t="s">
        <v>350</v>
      </c>
      <c r="B7" s="294" t="s">
        <v>351</v>
      </c>
      <c r="C7" s="295"/>
      <c r="D7" s="295"/>
      <c r="E7" s="295"/>
      <c r="F7" s="298">
        <f>SUM(G7:J7)/4</f>
        <v>0</v>
      </c>
      <c r="G7" s="297"/>
      <c r="H7" s="299"/>
      <c r="I7" s="299"/>
      <c r="J7" s="29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</row>
    <row r="8" spans="1:26" ht="23.25" x14ac:dyDescent="0.2">
      <c r="A8" s="293" t="s">
        <v>352</v>
      </c>
      <c r="B8" s="294" t="s">
        <v>353</v>
      </c>
      <c r="C8" s="295">
        <v>0</v>
      </c>
      <c r="D8" s="300">
        <v>0</v>
      </c>
      <c r="E8" s="300">
        <v>0</v>
      </c>
      <c r="F8" s="298">
        <f t="shared" ref="F8:F15" si="0">ROUND(SUM(G8:J8),2)</f>
        <v>0</v>
      </c>
      <c r="G8" s="301">
        <v>0</v>
      </c>
      <c r="H8" s="301">
        <v>0</v>
      </c>
      <c r="I8" s="301">
        <v>0</v>
      </c>
      <c r="J8" s="301">
        <v>0</v>
      </c>
      <c r="K8" s="289"/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</row>
    <row r="9" spans="1:26" ht="23.25" x14ac:dyDescent="0.2">
      <c r="A9" s="293" t="s">
        <v>354</v>
      </c>
      <c r="B9" s="294" t="s">
        <v>355</v>
      </c>
      <c r="C9" s="295">
        <v>0</v>
      </c>
      <c r="D9" s="295">
        <f t="shared" ref="D9:E12" si="1">SUM(D10)</f>
        <v>0</v>
      </c>
      <c r="E9" s="295">
        <f t="shared" si="1"/>
        <v>0</v>
      </c>
      <c r="F9" s="298">
        <f t="shared" si="0"/>
        <v>0</v>
      </c>
      <c r="G9" s="301">
        <f t="shared" ref="G9:J12" si="2">SUM(G10)</f>
        <v>0</v>
      </c>
      <c r="H9" s="301">
        <f t="shared" si="2"/>
        <v>0</v>
      </c>
      <c r="I9" s="301">
        <f t="shared" si="2"/>
        <v>0</v>
      </c>
      <c r="J9" s="301">
        <f t="shared" si="2"/>
        <v>0</v>
      </c>
      <c r="K9" s="302"/>
      <c r="L9" s="302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302"/>
      <c r="Z9" s="302"/>
    </row>
    <row r="10" spans="1:26" ht="37.5" x14ac:dyDescent="0.2">
      <c r="A10" s="293" t="s">
        <v>356</v>
      </c>
      <c r="B10" s="294" t="s">
        <v>357</v>
      </c>
      <c r="C10" s="295">
        <v>0</v>
      </c>
      <c r="D10" s="295">
        <f t="shared" si="1"/>
        <v>0</v>
      </c>
      <c r="E10" s="295">
        <f t="shared" si="1"/>
        <v>0</v>
      </c>
      <c r="F10" s="298">
        <f t="shared" si="0"/>
        <v>0</v>
      </c>
      <c r="G10" s="301">
        <f t="shared" si="2"/>
        <v>0</v>
      </c>
      <c r="H10" s="301">
        <f t="shared" si="2"/>
        <v>0</v>
      </c>
      <c r="I10" s="301">
        <f t="shared" si="2"/>
        <v>0</v>
      </c>
      <c r="J10" s="301">
        <f t="shared" si="2"/>
        <v>0</v>
      </c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</row>
    <row r="11" spans="1:26" ht="23.25" x14ac:dyDescent="0.2">
      <c r="A11" s="293" t="s">
        <v>358</v>
      </c>
      <c r="B11" s="294" t="s">
        <v>359</v>
      </c>
      <c r="C11" s="295">
        <v>0</v>
      </c>
      <c r="D11" s="295">
        <f t="shared" si="1"/>
        <v>0</v>
      </c>
      <c r="E11" s="295">
        <f t="shared" si="1"/>
        <v>0</v>
      </c>
      <c r="F11" s="298">
        <f t="shared" si="0"/>
        <v>0</v>
      </c>
      <c r="G11" s="301">
        <f t="shared" si="2"/>
        <v>0</v>
      </c>
      <c r="H11" s="301">
        <f t="shared" si="2"/>
        <v>0</v>
      </c>
      <c r="I11" s="301">
        <f t="shared" si="2"/>
        <v>0</v>
      </c>
      <c r="J11" s="301">
        <f t="shared" si="2"/>
        <v>0</v>
      </c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</row>
    <row r="12" spans="1:26" ht="23.25" x14ac:dyDescent="0.2">
      <c r="A12" s="293" t="s">
        <v>360</v>
      </c>
      <c r="B12" s="294" t="s">
        <v>361</v>
      </c>
      <c r="C12" s="295">
        <v>0</v>
      </c>
      <c r="D12" s="295">
        <f t="shared" si="1"/>
        <v>0</v>
      </c>
      <c r="E12" s="295">
        <f t="shared" si="1"/>
        <v>0</v>
      </c>
      <c r="F12" s="298">
        <f t="shared" si="0"/>
        <v>0</v>
      </c>
      <c r="G12" s="301">
        <f t="shared" si="2"/>
        <v>0</v>
      </c>
      <c r="H12" s="301">
        <f t="shared" si="2"/>
        <v>0</v>
      </c>
      <c r="I12" s="301">
        <f t="shared" si="2"/>
        <v>0</v>
      </c>
      <c r="J12" s="301">
        <f t="shared" si="2"/>
        <v>0</v>
      </c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</row>
    <row r="13" spans="1:26" ht="23.25" x14ac:dyDescent="0.2">
      <c r="A13" s="293" t="s">
        <v>362</v>
      </c>
      <c r="B13" s="294" t="s">
        <v>363</v>
      </c>
      <c r="C13" s="295">
        <v>0</v>
      </c>
      <c r="D13" s="295">
        <f>SUM(D14:D15)</f>
        <v>0</v>
      </c>
      <c r="E13" s="295">
        <f>SUM(E14:E15)</f>
        <v>0</v>
      </c>
      <c r="F13" s="298">
        <f t="shared" si="0"/>
        <v>0</v>
      </c>
      <c r="G13" s="301">
        <f>SUM(G14:G15)</f>
        <v>0</v>
      </c>
      <c r="H13" s="301">
        <f>SUM(H14:H15)</f>
        <v>0</v>
      </c>
      <c r="I13" s="301">
        <f>SUM(I14:I15)</f>
        <v>0</v>
      </c>
      <c r="J13" s="301">
        <f>SUM(J14:J15)</f>
        <v>0</v>
      </c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  <c r="Z13" s="289"/>
    </row>
    <row r="14" spans="1:26" ht="37.5" x14ac:dyDescent="0.2">
      <c r="A14" s="293" t="s">
        <v>364</v>
      </c>
      <c r="B14" s="294" t="s">
        <v>365</v>
      </c>
      <c r="C14" s="295">
        <v>0</v>
      </c>
      <c r="D14" s="295">
        <v>0</v>
      </c>
      <c r="E14" s="295">
        <v>0</v>
      </c>
      <c r="F14" s="298">
        <f t="shared" si="0"/>
        <v>0</v>
      </c>
      <c r="G14" s="301" t="s">
        <v>366</v>
      </c>
      <c r="H14" s="301" t="s">
        <v>366</v>
      </c>
      <c r="I14" s="301" t="s">
        <v>366</v>
      </c>
      <c r="J14" s="301" t="s">
        <v>366</v>
      </c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</row>
    <row r="15" spans="1:26" ht="37.5" x14ac:dyDescent="0.2">
      <c r="A15" s="293" t="s">
        <v>367</v>
      </c>
      <c r="B15" s="294" t="s">
        <v>368</v>
      </c>
      <c r="C15" s="295">
        <v>0</v>
      </c>
      <c r="D15" s="295">
        <v>0</v>
      </c>
      <c r="E15" s="295">
        <v>0</v>
      </c>
      <c r="F15" s="298">
        <f t="shared" si="0"/>
        <v>0</v>
      </c>
      <c r="G15" s="301" t="s">
        <v>366</v>
      </c>
      <c r="H15" s="301" t="s">
        <v>366</v>
      </c>
      <c r="I15" s="301" t="s">
        <v>366</v>
      </c>
      <c r="J15" s="301" t="s">
        <v>366</v>
      </c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</row>
    <row r="16" spans="1:26" ht="56.25" x14ac:dyDescent="0.2">
      <c r="A16" s="303" t="s">
        <v>369</v>
      </c>
      <c r="B16" s="304">
        <f>B6+'I. Фін результат_8,0%'!B130</f>
        <v>3202</v>
      </c>
      <c r="C16" s="304">
        <v>-1135</v>
      </c>
      <c r="D16" s="304">
        <f>D6+'I. Фін результат_8,0%'!D130</f>
        <v>-664.7</v>
      </c>
      <c r="E16" s="304">
        <f>E6+'I. Фін результат_8,0%'!E130</f>
        <v>-701.4</v>
      </c>
      <c r="F16" s="304">
        <f>F6+'I. Фін результат_8,0%'!F130</f>
        <v>-1048.1400000000003</v>
      </c>
      <c r="G16" s="305">
        <f>G6+'I. Фін результат_8,0%'!G130</f>
        <v>-552.09999999999991</v>
      </c>
      <c r="H16" s="305">
        <f>H6+'I. Фін результат_8,0%'!H130</f>
        <v>-720.2</v>
      </c>
      <c r="I16" s="305">
        <f>I6+'I. Фін результат_8,0%'!I130</f>
        <v>-863.90000000000009</v>
      </c>
      <c r="J16" s="305">
        <f>J6+'I. Фін результат_8,0%'!J130</f>
        <v>-1048.1400000000001</v>
      </c>
      <c r="K16" s="289"/>
      <c r="L16" s="289"/>
      <c r="M16" s="289"/>
      <c r="N16" s="289"/>
      <c r="O16" s="289"/>
      <c r="P16" s="289"/>
      <c r="Q16" s="289"/>
      <c r="R16" s="289"/>
      <c r="S16" s="289"/>
      <c r="T16" s="289"/>
      <c r="U16" s="289"/>
      <c r="V16" s="289"/>
      <c r="W16" s="289"/>
      <c r="X16" s="289"/>
      <c r="Y16" s="289"/>
      <c r="Z16" s="289"/>
    </row>
    <row r="17" spans="1:26" ht="38.25" customHeight="1" x14ac:dyDescent="0.2">
      <c r="A17" s="813" t="s">
        <v>370</v>
      </c>
      <c r="B17" s="813"/>
      <c r="C17" s="813"/>
      <c r="D17" s="813"/>
      <c r="E17" s="813"/>
      <c r="F17" s="813"/>
      <c r="G17" s="813"/>
      <c r="H17" s="813"/>
      <c r="I17" s="813"/>
      <c r="J17" s="813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</row>
    <row r="18" spans="1:26" ht="45" customHeight="1" x14ac:dyDescent="0.2">
      <c r="A18" s="293" t="s">
        <v>371</v>
      </c>
      <c r="B18" s="294" t="s">
        <v>372</v>
      </c>
      <c r="C18" s="295"/>
      <c r="D18" s="295"/>
      <c r="E18" s="295"/>
      <c r="F18" s="296">
        <f>SUM(G18:J18)</f>
        <v>0</v>
      </c>
      <c r="G18" s="300"/>
      <c r="H18" s="300">
        <f>H7</f>
        <v>0</v>
      </c>
      <c r="I18" s="300">
        <f>I7</f>
        <v>0</v>
      </c>
      <c r="J18" s="300">
        <f>J7</f>
        <v>0</v>
      </c>
      <c r="K18" s="289"/>
      <c r="L18" s="289"/>
      <c r="M18" s="289"/>
      <c r="N18" s="289"/>
      <c r="O18" s="289"/>
      <c r="P18" s="289"/>
      <c r="Q18" s="289"/>
      <c r="R18" s="289"/>
      <c r="S18" s="289"/>
      <c r="T18" s="289"/>
      <c r="U18" s="289"/>
      <c r="V18" s="289"/>
      <c r="W18" s="289"/>
      <c r="X18" s="289"/>
      <c r="Y18" s="289"/>
      <c r="Z18" s="289"/>
    </row>
    <row r="19" spans="1:26" ht="23.25" x14ac:dyDescent="0.2">
      <c r="A19" s="293" t="s">
        <v>58</v>
      </c>
      <c r="B19" s="294" t="s">
        <v>373</v>
      </c>
      <c r="C19" s="295"/>
      <c r="D19" s="295"/>
      <c r="E19" s="295"/>
      <c r="F19" s="296">
        <f>ROUND(SUM(G19:J19),2)</f>
        <v>0</v>
      </c>
      <c r="G19" s="295">
        <f>-'I. Фін результат_8,0%'!G126</f>
        <v>0</v>
      </c>
      <c r="H19" s="295">
        <f>-'I. Фін результат_8,0%'!H126</f>
        <v>0</v>
      </c>
      <c r="I19" s="295">
        <f>-'I. Фін результат_8,0%'!I126</f>
        <v>0</v>
      </c>
      <c r="J19" s="295">
        <f>-'I. Фін результат_8,0%'!J126</f>
        <v>0</v>
      </c>
      <c r="K19" s="302"/>
      <c r="L19" s="302"/>
      <c r="M19" s="302"/>
      <c r="N19" s="302"/>
      <c r="O19" s="302"/>
      <c r="P19" s="302"/>
      <c r="Q19" s="302"/>
      <c r="R19" s="302"/>
      <c r="S19" s="302"/>
      <c r="T19" s="302"/>
      <c r="U19" s="302"/>
      <c r="V19" s="302"/>
      <c r="W19" s="302"/>
      <c r="X19" s="302"/>
      <c r="Y19" s="302"/>
      <c r="Z19" s="302"/>
    </row>
    <row r="20" spans="1:26" ht="72.75" customHeight="1" x14ac:dyDescent="0.2">
      <c r="A20" s="293" t="s">
        <v>374</v>
      </c>
      <c r="B20" s="294" t="s">
        <v>375</v>
      </c>
      <c r="C20" s="295">
        <v>155.1</v>
      </c>
      <c r="D20" s="295">
        <v>404.3</v>
      </c>
      <c r="E20" s="295">
        <v>404.3</v>
      </c>
      <c r="F20" s="296">
        <f>ROUND(SUM(G20:J20),2)</f>
        <v>0</v>
      </c>
      <c r="G20" s="306">
        <f>'I. Фін результат_8,0%'!G6*0.2</f>
        <v>0</v>
      </c>
      <c r="H20" s="306">
        <f>'I. Фін результат_8,0%'!H6*0.2</f>
        <v>0</v>
      </c>
      <c r="I20" s="306">
        <f>'I. Фін результат_8,0%'!I6*0.2</f>
        <v>0</v>
      </c>
      <c r="J20" s="306">
        <f>'I. Фін результат_8,0%'!J6*0.2</f>
        <v>0</v>
      </c>
      <c r="K20" s="289"/>
      <c r="L20" s="289"/>
      <c r="M20" s="289"/>
      <c r="N20" s="289"/>
      <c r="O20" s="289"/>
      <c r="P20" s="307"/>
      <c r="Q20" s="289"/>
      <c r="R20" s="289"/>
      <c r="S20" s="289"/>
      <c r="T20" s="289"/>
      <c r="U20" s="289"/>
      <c r="V20" s="289"/>
      <c r="W20" s="289"/>
      <c r="X20" s="289"/>
      <c r="Y20" s="289"/>
      <c r="Z20" s="289"/>
    </row>
    <row r="21" spans="1:26" ht="78" customHeight="1" x14ac:dyDescent="0.2">
      <c r="A21" s="293" t="s">
        <v>376</v>
      </c>
      <c r="B21" s="294" t="s">
        <v>377</v>
      </c>
      <c r="C21" s="295">
        <v>0</v>
      </c>
      <c r="D21" s="295">
        <v>0</v>
      </c>
      <c r="E21" s="295">
        <v>0</v>
      </c>
      <c r="F21" s="296">
        <f>ROUND(SUM(G21:J21),2)</f>
        <v>0</v>
      </c>
      <c r="G21" s="308">
        <v>0</v>
      </c>
      <c r="H21" s="308">
        <v>0</v>
      </c>
      <c r="I21" s="308">
        <v>0</v>
      </c>
      <c r="J21" s="308">
        <v>0</v>
      </c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89"/>
      <c r="V21" s="289"/>
      <c r="W21" s="289"/>
      <c r="X21" s="289"/>
      <c r="Y21" s="289"/>
      <c r="Z21" s="289"/>
    </row>
    <row r="22" spans="1:26" ht="81" customHeight="1" x14ac:dyDescent="0.2">
      <c r="A22" s="303" t="s">
        <v>378</v>
      </c>
      <c r="B22" s="309" t="s">
        <v>379</v>
      </c>
      <c r="C22" s="310">
        <f>C26+C29</f>
        <v>1144.5999999999999</v>
      </c>
      <c r="D22" s="310">
        <f>ROUND(SUM(D23:D27,D28,D29),2)</f>
        <v>1162.8</v>
      </c>
      <c r="E22" s="310">
        <f>ROUND(SUM(E23:E27,E28,E29),2)</f>
        <v>1162.8</v>
      </c>
      <c r="F22" s="310">
        <f>ROUND(SUM(G22:J22),1)</f>
        <v>1356.2</v>
      </c>
      <c r="G22" s="310">
        <f>ROUND(SUM(G23:G27,G28,G29),1)</f>
        <v>320.10000000000002</v>
      </c>
      <c r="H22" s="310">
        <f>ROUND(SUM(H23:H27,H28,H29),1)</f>
        <v>369.4</v>
      </c>
      <c r="I22" s="310">
        <f>ROUND(SUM(I23:I27,I28,I29),1)</f>
        <v>353.8</v>
      </c>
      <c r="J22" s="310">
        <f>ROUND(SUM(J23:J27,J28,J29),1)</f>
        <v>312.89999999999998</v>
      </c>
      <c r="K22" s="288"/>
      <c r="L22" s="288"/>
      <c r="M22" s="288"/>
      <c r="N22" s="288"/>
      <c r="O22" s="288"/>
      <c r="P22" s="288"/>
      <c r="Q22" s="288"/>
      <c r="R22" s="288"/>
      <c r="S22" s="288"/>
      <c r="T22" s="288"/>
      <c r="U22" s="288"/>
      <c r="V22" s="288"/>
      <c r="W22" s="288"/>
      <c r="X22" s="288"/>
      <c r="Y22" s="288"/>
      <c r="Z22" s="288"/>
    </row>
    <row r="23" spans="1:26" ht="30" customHeight="1" x14ac:dyDescent="0.2">
      <c r="A23" s="293" t="s">
        <v>380</v>
      </c>
      <c r="B23" s="294" t="s">
        <v>381</v>
      </c>
      <c r="C23" s="295">
        <v>0</v>
      </c>
      <c r="D23" s="295">
        <v>0</v>
      </c>
      <c r="E23" s="295">
        <v>0</v>
      </c>
      <c r="F23" s="296">
        <f>ROUND(SUM(G23:J23),2)</f>
        <v>0</v>
      </c>
      <c r="G23" s="295">
        <v>0</v>
      </c>
      <c r="H23" s="295">
        <v>0</v>
      </c>
      <c r="I23" s="295">
        <v>0</v>
      </c>
      <c r="J23" s="295">
        <v>0</v>
      </c>
      <c r="K23" s="289"/>
      <c r="L23" s="289"/>
      <c r="M23" s="289"/>
      <c r="N23" s="289"/>
      <c r="O23" s="289"/>
      <c r="P23" s="289"/>
      <c r="Q23" s="289"/>
      <c r="R23" s="289"/>
      <c r="S23" s="289"/>
      <c r="T23" s="289"/>
      <c r="U23" s="289"/>
      <c r="V23" s="289"/>
      <c r="W23" s="289"/>
      <c r="X23" s="289"/>
      <c r="Y23" s="289"/>
      <c r="Z23" s="289"/>
    </row>
    <row r="24" spans="1:26" ht="30" customHeight="1" x14ac:dyDescent="0.2">
      <c r="A24" s="293" t="s">
        <v>382</v>
      </c>
      <c r="B24" s="294" t="s">
        <v>383</v>
      </c>
      <c r="C24" s="295">
        <v>0</v>
      </c>
      <c r="D24" s="295">
        <v>0</v>
      </c>
      <c r="E24" s="295">
        <v>0</v>
      </c>
      <c r="F24" s="296">
        <f>ROUND(SUM(G24:J24),2)</f>
        <v>0</v>
      </c>
      <c r="G24" s="295">
        <v>0</v>
      </c>
      <c r="H24" s="295">
        <v>0</v>
      </c>
      <c r="I24" s="295">
        <v>0</v>
      </c>
      <c r="J24" s="295">
        <v>0</v>
      </c>
      <c r="K24" s="289"/>
      <c r="L24" s="289"/>
      <c r="M24" s="289"/>
      <c r="N24" s="289"/>
      <c r="O24" s="289"/>
      <c r="P24" s="289"/>
      <c r="Q24" s="289"/>
      <c r="R24" s="289"/>
      <c r="S24" s="289"/>
      <c r="T24" s="289"/>
      <c r="U24" s="289"/>
      <c r="V24" s="289"/>
      <c r="W24" s="289"/>
      <c r="X24" s="289"/>
      <c r="Y24" s="289"/>
      <c r="Z24" s="289"/>
    </row>
    <row r="25" spans="1:26" ht="31.35" customHeight="1" x14ac:dyDescent="0.2">
      <c r="A25" s="293" t="s">
        <v>384</v>
      </c>
      <c r="B25" s="294" t="s">
        <v>385</v>
      </c>
      <c r="C25" s="295">
        <v>0</v>
      </c>
      <c r="D25" s="295">
        <v>0</v>
      </c>
      <c r="E25" s="295">
        <v>0</v>
      </c>
      <c r="F25" s="296">
        <f>ROUND(SUM(G25:J25),2)</f>
        <v>0</v>
      </c>
      <c r="G25" s="295">
        <v>0</v>
      </c>
      <c r="H25" s="295">
        <v>0</v>
      </c>
      <c r="I25" s="295">
        <v>0</v>
      </c>
      <c r="J25" s="295">
        <v>0</v>
      </c>
      <c r="K25" s="289"/>
      <c r="L25" s="289"/>
      <c r="M25" s="289"/>
      <c r="N25" s="289"/>
      <c r="O25" s="289"/>
      <c r="P25" s="289"/>
      <c r="Q25" s="289"/>
      <c r="R25" s="289"/>
      <c r="S25" s="289"/>
      <c r="T25" s="289"/>
      <c r="U25" s="289"/>
      <c r="V25" s="289"/>
      <c r="W25" s="289"/>
      <c r="X25" s="289"/>
      <c r="Y25" s="289"/>
      <c r="Z25" s="289"/>
    </row>
    <row r="26" spans="1:26" ht="39.950000000000003" customHeight="1" x14ac:dyDescent="0.2">
      <c r="A26" s="293" t="s">
        <v>386</v>
      </c>
      <c r="B26" s="294" t="s">
        <v>387</v>
      </c>
      <c r="C26" s="295">
        <v>1038.8</v>
      </c>
      <c r="D26" s="295">
        <v>1073.3</v>
      </c>
      <c r="E26" s="295">
        <v>1073.3</v>
      </c>
      <c r="F26" s="296">
        <f>ROUND(SUM(G26:J26),1)</f>
        <v>1061.4000000000001</v>
      </c>
      <c r="G26" s="295">
        <v>250.5</v>
      </c>
      <c r="H26" s="295">
        <v>289.10000000000002</v>
      </c>
      <c r="I26" s="295">
        <v>276.89999999999998</v>
      </c>
      <c r="J26" s="295">
        <v>244.9</v>
      </c>
      <c r="K26" s="289" t="s">
        <v>388</v>
      </c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</row>
    <row r="27" spans="1:26" ht="36" customHeight="1" x14ac:dyDescent="0.2">
      <c r="A27" s="293" t="s">
        <v>389</v>
      </c>
      <c r="B27" s="294" t="s">
        <v>390</v>
      </c>
      <c r="C27" s="295">
        <v>0</v>
      </c>
      <c r="D27" s="295">
        <v>0</v>
      </c>
      <c r="E27" s="295"/>
      <c r="F27" s="296">
        <f>ROUND(SUM(G27:J27),2)</f>
        <v>0</v>
      </c>
      <c r="G27" s="295">
        <v>0</v>
      </c>
      <c r="H27" s="295">
        <v>0</v>
      </c>
      <c r="I27" s="295">
        <v>0</v>
      </c>
      <c r="J27" s="295">
        <v>0</v>
      </c>
      <c r="K27" s="302"/>
      <c r="L27" s="302"/>
      <c r="M27" s="302"/>
      <c r="N27" s="302"/>
      <c r="O27" s="302"/>
      <c r="P27" s="302"/>
      <c r="Q27" s="302"/>
      <c r="R27" s="302"/>
      <c r="S27" s="302"/>
      <c r="T27" s="302"/>
      <c r="U27" s="302"/>
      <c r="V27" s="302"/>
      <c r="W27" s="302"/>
      <c r="X27" s="302"/>
      <c r="Y27" s="302"/>
      <c r="Z27" s="302"/>
    </row>
    <row r="28" spans="1:26" ht="37.5" customHeight="1" x14ac:dyDescent="0.2">
      <c r="A28" s="293" t="s">
        <v>391</v>
      </c>
      <c r="B28" s="294" t="s">
        <v>392</v>
      </c>
      <c r="C28" s="311">
        <v>0</v>
      </c>
      <c r="D28" s="311">
        <v>0</v>
      </c>
      <c r="E28" s="311"/>
      <c r="F28" s="296">
        <f>ROUND(SUM(G28:J28),2)</f>
        <v>0</v>
      </c>
      <c r="G28" s="311">
        <v>0</v>
      </c>
      <c r="H28" s="311">
        <v>0</v>
      </c>
      <c r="I28" s="311">
        <v>0</v>
      </c>
      <c r="J28" s="311">
        <v>0</v>
      </c>
      <c r="K28" s="302"/>
      <c r="L28" s="302"/>
      <c r="M28" s="302"/>
      <c r="N28" s="302"/>
      <c r="O28" s="302"/>
      <c r="P28" s="302"/>
      <c r="Q28" s="302"/>
      <c r="R28" s="302"/>
      <c r="S28" s="302"/>
      <c r="T28" s="302"/>
      <c r="U28" s="302"/>
      <c r="V28" s="302"/>
      <c r="W28" s="302"/>
      <c r="X28" s="302"/>
      <c r="Y28" s="302"/>
      <c r="Z28" s="302"/>
    </row>
    <row r="29" spans="1:26" ht="30" customHeight="1" x14ac:dyDescent="0.2">
      <c r="A29" s="293" t="s">
        <v>393</v>
      </c>
      <c r="B29" s="294" t="s">
        <v>394</v>
      </c>
      <c r="C29" s="311">
        <f>SUM(C30)</f>
        <v>105.8</v>
      </c>
      <c r="D29" s="311">
        <f>D30</f>
        <v>89.5</v>
      </c>
      <c r="E29" s="311">
        <f>E30</f>
        <v>89.5</v>
      </c>
      <c r="F29" s="296">
        <f>ROUND(SUM(G29:J29),1)</f>
        <v>294.8</v>
      </c>
      <c r="G29" s="295">
        <f>SUM(G30)</f>
        <v>69.599999999999994</v>
      </c>
      <c r="H29" s="295">
        <f>SUM(H30)</f>
        <v>80.3</v>
      </c>
      <c r="I29" s="295">
        <f>SUM(I30)</f>
        <v>76.900000000000006</v>
      </c>
      <c r="J29" s="295">
        <f>SUM(J30)</f>
        <v>68</v>
      </c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</row>
    <row r="30" spans="1:26" ht="41.25" customHeight="1" x14ac:dyDescent="0.2">
      <c r="A30" s="293" t="s">
        <v>395</v>
      </c>
      <c r="B30" s="294" t="s">
        <v>396</v>
      </c>
      <c r="C30" s="311">
        <v>105.8</v>
      </c>
      <c r="D30" s="311">
        <v>89.5</v>
      </c>
      <c r="E30" s="311">
        <v>89.5</v>
      </c>
      <c r="F30" s="296">
        <f>ROUND(SUM(G30:J30),1)</f>
        <v>294.8</v>
      </c>
      <c r="G30" s="295">
        <v>69.599999999999994</v>
      </c>
      <c r="H30" s="295">
        <v>80.3</v>
      </c>
      <c r="I30" s="295">
        <v>76.900000000000006</v>
      </c>
      <c r="J30" s="295">
        <v>68</v>
      </c>
      <c r="K30" s="289" t="s">
        <v>397</v>
      </c>
      <c r="L30" s="302"/>
      <c r="M30" s="302"/>
      <c r="N30" s="302"/>
      <c r="O30" s="302"/>
      <c r="P30" s="302"/>
      <c r="Q30" s="302"/>
      <c r="R30" s="302"/>
      <c r="S30" s="302"/>
      <c r="T30" s="302"/>
      <c r="U30" s="302"/>
      <c r="V30" s="302"/>
      <c r="W30" s="302"/>
      <c r="X30" s="302"/>
      <c r="Y30" s="302"/>
      <c r="Z30" s="302"/>
    </row>
    <row r="31" spans="1:26" ht="57" customHeight="1" x14ac:dyDescent="0.2">
      <c r="A31" s="312" t="s">
        <v>62</v>
      </c>
      <c r="B31" s="313" t="s">
        <v>398</v>
      </c>
      <c r="C31" s="314">
        <v>1239.4000000000001</v>
      </c>
      <c r="D31" s="314">
        <v>1311.7</v>
      </c>
      <c r="E31" s="314">
        <v>1311.7</v>
      </c>
      <c r="F31" s="314">
        <f>ROUND(SUM(G31:J31),1)</f>
        <v>1297.2</v>
      </c>
      <c r="G31" s="314">
        <v>306.2</v>
      </c>
      <c r="H31" s="314">
        <v>353.3</v>
      </c>
      <c r="I31" s="314">
        <v>338.4</v>
      </c>
      <c r="J31" s="314">
        <v>299.3</v>
      </c>
      <c r="K31" s="302"/>
      <c r="L31" s="302"/>
      <c r="M31" s="302"/>
      <c r="N31" s="302"/>
      <c r="O31" s="302"/>
      <c r="P31" s="302"/>
      <c r="Q31" s="302"/>
      <c r="R31" s="302"/>
      <c r="S31" s="302"/>
      <c r="T31" s="302"/>
      <c r="U31" s="302"/>
      <c r="V31" s="302"/>
      <c r="W31" s="302"/>
      <c r="X31" s="302"/>
      <c r="Y31" s="302"/>
      <c r="Z31" s="302"/>
    </row>
    <row r="32" spans="1:26" ht="36" customHeight="1" x14ac:dyDescent="0.2">
      <c r="A32" s="303" t="s">
        <v>63</v>
      </c>
      <c r="B32" s="309" t="s">
        <v>399</v>
      </c>
      <c r="C32" s="315">
        <f>ROUND(SUM(C18,C19:C21,C22,C31),2)</f>
        <v>2539.1</v>
      </c>
      <c r="D32" s="315">
        <f>D31+D22+D20</f>
        <v>2878.8</v>
      </c>
      <c r="E32" s="316">
        <f>ROUND(SUM(E18,E19:E21,E22,E31),2)</f>
        <v>2878.8</v>
      </c>
      <c r="F32" s="310">
        <f>ROUND(SUM(G32:J32),1)</f>
        <v>2653.4</v>
      </c>
      <c r="G32" s="317">
        <f>ROUND(SUM(G18,G19:G20,G22,G31),1)</f>
        <v>626.29999999999995</v>
      </c>
      <c r="H32" s="310">
        <f>ROUND(SUM(H18,H19:H20,H22,H31),1)</f>
        <v>722.7</v>
      </c>
      <c r="I32" s="310">
        <f>ROUND(SUM(I18,I19:I20,I22,I31),1)</f>
        <v>692.2</v>
      </c>
      <c r="J32" s="310">
        <f>ROUND(SUM(J18,J19:J20,J22,J31),1)</f>
        <v>612.20000000000005</v>
      </c>
      <c r="K32" s="302"/>
      <c r="L32" s="302"/>
      <c r="M32" s="302"/>
      <c r="N32" s="302"/>
      <c r="O32" s="302"/>
      <c r="P32" s="302"/>
      <c r="Q32" s="302"/>
      <c r="R32" s="302"/>
      <c r="S32" s="302"/>
      <c r="T32" s="302"/>
      <c r="U32" s="302"/>
      <c r="V32" s="302"/>
      <c r="W32" s="302"/>
      <c r="X32" s="302"/>
      <c r="Y32" s="302"/>
      <c r="Z32" s="302"/>
    </row>
    <row r="33" spans="1:26" ht="9.75" customHeight="1" x14ac:dyDescent="0.2">
      <c r="A33" s="57"/>
      <c r="B33" s="318"/>
      <c r="C33" s="58"/>
      <c r="D33" s="59"/>
      <c r="E33" s="319"/>
      <c r="F33" s="58"/>
      <c r="G33" s="59"/>
      <c r="H33" s="59"/>
      <c r="I33" s="59"/>
      <c r="J33" s="59"/>
      <c r="K33" s="302"/>
      <c r="L33" s="302"/>
      <c r="M33" s="302"/>
      <c r="N33" s="302"/>
      <c r="O33" s="302"/>
      <c r="P33" s="302"/>
      <c r="Q33" s="302"/>
      <c r="R33" s="302"/>
      <c r="S33" s="302"/>
      <c r="T33" s="302"/>
      <c r="U33" s="302"/>
      <c r="V33" s="302"/>
      <c r="W33" s="302"/>
      <c r="X33" s="302"/>
      <c r="Y33" s="302"/>
      <c r="Z33" s="302"/>
    </row>
    <row r="34" spans="1:26" ht="23.25" customHeight="1" x14ac:dyDescent="0.3">
      <c r="A34" s="64" t="s">
        <v>85</v>
      </c>
      <c r="B34" s="320"/>
      <c r="C34" s="321"/>
      <c r="D34" s="321"/>
      <c r="E34" s="321"/>
      <c r="F34" s="320"/>
      <c r="G34" s="320"/>
      <c r="H34" s="320" t="s">
        <v>86</v>
      </c>
      <c r="I34" s="320"/>
      <c r="J34" s="322"/>
      <c r="K34" s="289"/>
      <c r="L34" s="289"/>
      <c r="M34" s="289"/>
      <c r="N34" s="289"/>
      <c r="O34" s="289"/>
      <c r="P34" s="289"/>
      <c r="Q34" s="289"/>
      <c r="R34" s="289"/>
      <c r="S34" s="289"/>
      <c r="T34" s="289"/>
      <c r="U34" s="289"/>
      <c r="V34" s="289"/>
      <c r="W34" s="289"/>
      <c r="X34" s="289"/>
      <c r="Y34" s="289"/>
      <c r="Z34" s="289"/>
    </row>
    <row r="35" spans="1:26" ht="12" customHeight="1" x14ac:dyDescent="0.2"/>
    <row r="36" spans="1:26" ht="18.75" customHeight="1" x14ac:dyDescent="0.2"/>
    <row r="37" spans="1:26" ht="15.75" customHeight="1" x14ac:dyDescent="0.2"/>
    <row r="38" spans="1:26" ht="15.75" customHeight="1" x14ac:dyDescent="0.2"/>
    <row r="39" spans="1:26" ht="15.75" customHeight="1" x14ac:dyDescent="0.2"/>
    <row r="40" spans="1:26" ht="15.75" customHeight="1" x14ac:dyDescent="0.2"/>
    <row r="41" spans="1:26" ht="15.75" customHeight="1" x14ac:dyDescent="0.2"/>
    <row r="42" spans="1:26" ht="15.75" customHeight="1" x14ac:dyDescent="0.2"/>
    <row r="43" spans="1:26" ht="15.75" customHeight="1" x14ac:dyDescent="0.2"/>
    <row r="44" spans="1:26" ht="15.75" customHeight="1" x14ac:dyDescent="0.2"/>
    <row r="45" spans="1:26" ht="15.75" customHeight="1" x14ac:dyDescent="0.2"/>
    <row r="46" spans="1:26" ht="15.75" customHeight="1" x14ac:dyDescent="0.2"/>
    <row r="47" spans="1:26" ht="15.75" customHeight="1" x14ac:dyDescent="0.2"/>
    <row r="48" spans="1:26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0">
    <mergeCell ref="A5:J5"/>
    <mergeCell ref="A17:J17"/>
    <mergeCell ref="A1:J1"/>
    <mergeCell ref="A2:A3"/>
    <mergeCell ref="B2:B3"/>
    <mergeCell ref="C2:C3"/>
    <mergeCell ref="D2:D3"/>
    <mergeCell ref="E2:E3"/>
    <mergeCell ref="F2:F3"/>
    <mergeCell ref="G2:J2"/>
  </mergeCells>
  <printOptions horizontalCentered="1"/>
  <pageMargins left="0.11811023622047245" right="0.19685039370078741" top="0.55118110236220474" bottom="0.55118110236220474" header="0.11811023622047245" footer="0.11811023622047245"/>
  <pageSetup paperSize="9" scale="54" firstPageNumber="0" fitToHeight="0" pageOrder="overThenDown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Z995"/>
  <sheetViews>
    <sheetView view="pageBreakPreview" zoomScale="73" zoomScaleNormal="73" zoomScaleSheetLayoutView="73" zoomScalePageLayoutView="70" workbookViewId="0">
      <pane ySplit="3" topLeftCell="A64" activePane="bottomLeft" state="frozen"/>
      <selection pane="bottomLeft" activeCell="F75" sqref="F75"/>
    </sheetView>
  </sheetViews>
  <sheetFormatPr defaultRowHeight="12.75" x14ac:dyDescent="0.2"/>
  <cols>
    <col min="1" max="1" width="56.140625" customWidth="1"/>
    <col min="2" max="2" width="11" style="72" customWidth="1"/>
    <col min="3" max="3" width="18.7109375" style="323" customWidth="1"/>
    <col min="4" max="4" width="17" style="323" customWidth="1"/>
    <col min="5" max="5" width="16.42578125" style="323" customWidth="1"/>
    <col min="6" max="6" width="19.140625" style="323" customWidth="1"/>
    <col min="7" max="7" width="16" style="323" customWidth="1"/>
    <col min="8" max="8" width="15.42578125" style="323" customWidth="1"/>
    <col min="9" max="9" width="17" style="323" customWidth="1"/>
    <col min="10" max="10" width="16.42578125" style="323" customWidth="1"/>
    <col min="11" max="12" width="8.85546875" customWidth="1"/>
    <col min="13" max="13" width="16" customWidth="1"/>
    <col min="14" max="20" width="8.85546875" customWidth="1"/>
    <col min="21" max="26" width="7.7109375" customWidth="1"/>
    <col min="27" max="1025" width="12.140625" customWidth="1"/>
  </cols>
  <sheetData>
    <row r="1" spans="1:26" ht="24" customHeight="1" x14ac:dyDescent="0.2">
      <c r="A1" s="792" t="s">
        <v>64</v>
      </c>
      <c r="B1" s="792"/>
      <c r="C1" s="792"/>
      <c r="D1" s="792"/>
      <c r="E1" s="792"/>
      <c r="F1" s="792"/>
      <c r="G1" s="792"/>
      <c r="H1" s="792"/>
      <c r="I1" s="792"/>
      <c r="J1" s="792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24" customHeight="1" x14ac:dyDescent="0.2">
      <c r="A2" s="815" t="s">
        <v>36</v>
      </c>
      <c r="B2" s="820" t="s">
        <v>400</v>
      </c>
      <c r="C2" s="821" t="s">
        <v>401</v>
      </c>
      <c r="D2" s="821" t="s">
        <v>402</v>
      </c>
      <c r="E2" s="821" t="s">
        <v>40</v>
      </c>
      <c r="F2" s="821" t="s">
        <v>88</v>
      </c>
      <c r="G2" s="822" t="s">
        <v>403</v>
      </c>
      <c r="H2" s="822"/>
      <c r="I2" s="822"/>
      <c r="J2" s="822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51" customHeight="1" x14ac:dyDescent="0.2">
      <c r="A3" s="815"/>
      <c r="B3" s="815"/>
      <c r="C3" s="821"/>
      <c r="D3" s="821"/>
      <c r="E3" s="821"/>
      <c r="F3" s="821"/>
      <c r="G3" s="324" t="s">
        <v>343</v>
      </c>
      <c r="H3" s="324" t="s">
        <v>344</v>
      </c>
      <c r="I3" s="324" t="s">
        <v>345</v>
      </c>
      <c r="J3" s="324" t="s">
        <v>346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4" customHeight="1" x14ac:dyDescent="0.2">
      <c r="A4" s="818" t="s">
        <v>404</v>
      </c>
      <c r="B4" s="818"/>
      <c r="C4" s="818"/>
      <c r="D4" s="818"/>
      <c r="E4" s="818"/>
      <c r="F4" s="818"/>
      <c r="G4" s="818"/>
      <c r="H4" s="818"/>
      <c r="I4" s="818"/>
      <c r="J4" s="818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43.5" customHeight="1" x14ac:dyDescent="0.2">
      <c r="A5" s="325" t="s">
        <v>405</v>
      </c>
      <c r="B5" s="326" t="s">
        <v>406</v>
      </c>
      <c r="C5" s="327">
        <f>C6+C7+C14</f>
        <v>8242</v>
      </c>
      <c r="D5" s="327">
        <f>ROUND(SUM(D6:D7),2)+D12</f>
        <v>6549.7</v>
      </c>
      <c r="E5" s="327">
        <f>E6+E7+E12</f>
        <v>6549.7</v>
      </c>
      <c r="F5" s="327">
        <f>ROUND(SUM(G5:J5),1)</f>
        <v>7193.8</v>
      </c>
      <c r="G5" s="327">
        <f>SUM(G6,G7,G12,)</f>
        <v>1697.7</v>
      </c>
      <c r="H5" s="327">
        <f>SUM(H6,H7,H12,)</f>
        <v>1959.6</v>
      </c>
      <c r="I5" s="327">
        <f>SUM(I6,I7,I12,)</f>
        <v>1876.5</v>
      </c>
      <c r="J5" s="327">
        <f>SUM(J6,J7,J12,)</f>
        <v>1660</v>
      </c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27.75" customHeight="1" x14ac:dyDescent="0.2">
      <c r="A6" s="293" t="s">
        <v>407</v>
      </c>
      <c r="B6" s="328" t="s">
        <v>408</v>
      </c>
      <c r="C6" s="329">
        <v>2496.1999999999998</v>
      </c>
      <c r="D6" s="329"/>
      <c r="E6" s="329"/>
      <c r="F6" s="330">
        <f>J6+I6+H6+G6</f>
        <v>0</v>
      </c>
      <c r="G6" s="329">
        <f>'I. Фін результат_8,0%'!G6*1.2</f>
        <v>0</v>
      </c>
      <c r="H6" s="329">
        <f>'I. Фін результат_8,0%'!H6*1.2</f>
        <v>0</v>
      </c>
      <c r="I6" s="329">
        <v>0</v>
      </c>
      <c r="J6" s="329">
        <f>'I. Фін результат_8,0%'!J6*1.2</f>
        <v>0</v>
      </c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95.25" customHeight="1" x14ac:dyDescent="0.3">
      <c r="A7" s="688" t="s">
        <v>842</v>
      </c>
      <c r="B7" s="328" t="s">
        <v>409</v>
      </c>
      <c r="C7" s="332">
        <v>5374.8</v>
      </c>
      <c r="D7" s="332">
        <v>6549.7</v>
      </c>
      <c r="E7" s="332">
        <v>6549.7</v>
      </c>
      <c r="F7" s="330">
        <f>G7+H7+I7+J7</f>
        <v>7193.8</v>
      </c>
      <c r="G7" s="329">
        <f>G8+G9</f>
        <v>1697.7</v>
      </c>
      <c r="H7" s="329">
        <f>H8+H9</f>
        <v>1959.6</v>
      </c>
      <c r="I7" s="329">
        <f>I8+I9</f>
        <v>1876.5</v>
      </c>
      <c r="J7" s="329">
        <f>J8+J9</f>
        <v>1660</v>
      </c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3"/>
      <c r="Y7" s="333"/>
      <c r="Z7" s="333"/>
    </row>
    <row r="8" spans="1:26" ht="66.75" customHeight="1" x14ac:dyDescent="0.2">
      <c r="A8" s="334" t="s">
        <v>410</v>
      </c>
      <c r="B8" s="328" t="s">
        <v>411</v>
      </c>
      <c r="C8" s="332"/>
      <c r="D8" s="332">
        <v>0</v>
      </c>
      <c r="E8" s="332"/>
      <c r="F8" s="330">
        <f t="shared" ref="F8:F14" si="0">ROUND(SUM(G8:J8),2)</f>
        <v>0</v>
      </c>
      <c r="G8" s="335">
        <v>0</v>
      </c>
      <c r="H8" s="335">
        <v>0</v>
      </c>
      <c r="I8" s="335">
        <v>0</v>
      </c>
      <c r="J8" s="335">
        <v>0</v>
      </c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54" customHeight="1" x14ac:dyDescent="0.3">
      <c r="A9" s="691" t="s">
        <v>196</v>
      </c>
      <c r="B9" s="328" t="s">
        <v>412</v>
      </c>
      <c r="C9" s="332"/>
      <c r="D9" s="332">
        <v>6549.7</v>
      </c>
      <c r="E9" s="332">
        <v>6549.7</v>
      </c>
      <c r="F9" s="330">
        <f t="shared" si="0"/>
        <v>7193.8</v>
      </c>
      <c r="G9" s="336">
        <f>'I. Фін результат_8,0%'!G52</f>
        <v>1697.7</v>
      </c>
      <c r="H9" s="336">
        <f>'I. Фін результат_8,0%'!H52</f>
        <v>1959.6</v>
      </c>
      <c r="I9" s="336">
        <f>'I. Фін результат_8,0%'!I52</f>
        <v>1876.5</v>
      </c>
      <c r="J9" s="336">
        <f>'I. Фін результат_8,0%'!J52</f>
        <v>1660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6.25" customHeight="1" x14ac:dyDescent="0.2">
      <c r="A10" s="293" t="s">
        <v>413</v>
      </c>
      <c r="B10" s="328" t="s">
        <v>414</v>
      </c>
      <c r="C10" s="332"/>
      <c r="D10" s="332">
        <v>0</v>
      </c>
      <c r="E10" s="332">
        <v>0</v>
      </c>
      <c r="F10" s="330">
        <f t="shared" si="0"/>
        <v>0</v>
      </c>
      <c r="G10" s="332">
        <v>0</v>
      </c>
      <c r="H10" s="332">
        <v>0</v>
      </c>
      <c r="I10" s="332">
        <v>0</v>
      </c>
      <c r="J10" s="332">
        <v>0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6.25" customHeight="1" x14ac:dyDescent="0.2">
      <c r="A11" s="337" t="s">
        <v>415</v>
      </c>
      <c r="B11" s="328" t="s">
        <v>416</v>
      </c>
      <c r="C11" s="332"/>
      <c r="D11" s="332">
        <v>0</v>
      </c>
      <c r="E11" s="332">
        <v>0</v>
      </c>
      <c r="F11" s="330">
        <f t="shared" si="0"/>
        <v>0</v>
      </c>
      <c r="G11" s="332">
        <v>0</v>
      </c>
      <c r="H11" s="332">
        <v>0</v>
      </c>
      <c r="I11" s="332">
        <v>0</v>
      </c>
      <c r="J11" s="332">
        <v>0</v>
      </c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6.25" customHeight="1" x14ac:dyDescent="0.2">
      <c r="A12" s="337" t="s">
        <v>417</v>
      </c>
      <c r="B12" s="328" t="s">
        <v>418</v>
      </c>
      <c r="C12" s="332"/>
      <c r="D12" s="332">
        <v>0</v>
      </c>
      <c r="E12" s="332">
        <v>0</v>
      </c>
      <c r="F12" s="330">
        <f t="shared" si="0"/>
        <v>0</v>
      </c>
      <c r="G12" s="332">
        <f>SUM(G13:G14)</f>
        <v>0</v>
      </c>
      <c r="H12" s="332">
        <f>SUM(H13:H14)</f>
        <v>0</v>
      </c>
      <c r="I12" s="332">
        <f>SUM(I13:I14)</f>
        <v>0</v>
      </c>
      <c r="J12" s="332">
        <f>SUM(J13:J14)</f>
        <v>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6.25" customHeight="1" x14ac:dyDescent="0.2">
      <c r="A13" s="5" t="s">
        <v>419</v>
      </c>
      <c r="B13" s="328" t="s">
        <v>420</v>
      </c>
      <c r="C13" s="332"/>
      <c r="D13" s="332">
        <v>0</v>
      </c>
      <c r="E13" s="332">
        <v>0</v>
      </c>
      <c r="F13" s="330">
        <f t="shared" si="0"/>
        <v>0</v>
      </c>
      <c r="G13" s="332">
        <f>'I. Фін результат_8,0%'!G118</f>
        <v>0</v>
      </c>
      <c r="H13" s="332">
        <f>'I. Фін результат_8,0%'!H118</f>
        <v>0</v>
      </c>
      <c r="I13" s="332">
        <f>'I. Фін результат_8,0%'!I118</f>
        <v>0</v>
      </c>
      <c r="J13" s="332">
        <f>'I. Фін результат_8,0%'!J118</f>
        <v>0</v>
      </c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6.25" customHeight="1" x14ac:dyDescent="0.2">
      <c r="A14" s="293" t="s">
        <v>191</v>
      </c>
      <c r="B14" s="328" t="s">
        <v>421</v>
      </c>
      <c r="C14" s="332">
        <v>371</v>
      </c>
      <c r="D14" s="332">
        <v>0</v>
      </c>
      <c r="E14" s="332">
        <v>0</v>
      </c>
      <c r="F14" s="330">
        <f t="shared" si="0"/>
        <v>0</v>
      </c>
      <c r="G14" s="332">
        <f>'I. Фін результат_8,0%'!G119</f>
        <v>0</v>
      </c>
      <c r="H14" s="332">
        <f>'I. Фін результат_8,0%'!H119</f>
        <v>0</v>
      </c>
      <c r="I14" s="332">
        <f>'I. Фін результат_8,0%'!I119</f>
        <v>0</v>
      </c>
      <c r="J14" s="332">
        <f>'I. Фін результат_8,0%'!J119</f>
        <v>0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45" customHeight="1" x14ac:dyDescent="0.2">
      <c r="A15" s="303" t="s">
        <v>422</v>
      </c>
      <c r="B15" s="326" t="s">
        <v>423</v>
      </c>
      <c r="C15" s="327">
        <f>C16+C17+C18</f>
        <v>7684.4000000000005</v>
      </c>
      <c r="D15" s="327">
        <f>ROUND(SUM(D16,D17,D18,D25),1)</f>
        <v>6921.7</v>
      </c>
      <c r="E15" s="327">
        <f>ROUND(SUM(E16,E17,E18,E25),1)</f>
        <v>6958.4</v>
      </c>
      <c r="F15" s="327">
        <f>ROUND(SUM(G15:J15),1)</f>
        <v>7949.2</v>
      </c>
      <c r="G15" s="327">
        <f>G16+G17+G18</f>
        <v>1957.1000000000001</v>
      </c>
      <c r="H15" s="327">
        <f>H16+H17+H18</f>
        <v>2127.6999999999998</v>
      </c>
      <c r="I15" s="327">
        <f>I16+I17+I18</f>
        <v>2020.1999999999998</v>
      </c>
      <c r="J15" s="327">
        <f>J16+J17+J18</f>
        <v>1844.2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7.75" customHeight="1" x14ac:dyDescent="0.2">
      <c r="A16" s="293" t="s">
        <v>424</v>
      </c>
      <c r="B16" s="328" t="s">
        <v>425</v>
      </c>
      <c r="C16" s="329">
        <v>594.6</v>
      </c>
      <c r="D16" s="329">
        <v>372</v>
      </c>
      <c r="E16" s="329">
        <v>408.7</v>
      </c>
      <c r="F16" s="330">
        <f>H16+I16+J16+G16</f>
        <v>755.39999999999986</v>
      </c>
      <c r="G16" s="336">
        <v>259.39999999999998</v>
      </c>
      <c r="H16" s="336">
        <v>168.1</v>
      </c>
      <c r="I16" s="336">
        <v>143.69999999999999</v>
      </c>
      <c r="J16" s="336">
        <v>184.2</v>
      </c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27.75" customHeight="1" x14ac:dyDescent="0.2">
      <c r="A17" s="293" t="s">
        <v>426</v>
      </c>
      <c r="B17" s="328" t="s">
        <v>427</v>
      </c>
      <c r="C17" s="332">
        <v>4508</v>
      </c>
      <c r="D17" s="332">
        <v>4133.8</v>
      </c>
      <c r="E17" s="332">
        <v>4133.8</v>
      </c>
      <c r="F17" s="330">
        <f>J17+I17+H17+G17</f>
        <v>4540.3999999999996</v>
      </c>
      <c r="G17" s="329">
        <v>1071.4000000000001</v>
      </c>
      <c r="H17" s="329">
        <v>1236.9000000000001</v>
      </c>
      <c r="I17" s="329">
        <v>1184.3</v>
      </c>
      <c r="J17" s="329">
        <v>1047.8</v>
      </c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27.75" customHeight="1" x14ac:dyDescent="0.35">
      <c r="A18" s="293" t="s">
        <v>428</v>
      </c>
      <c r="B18" s="328" t="s">
        <v>429</v>
      </c>
      <c r="C18" s="329">
        <v>2581.8000000000002</v>
      </c>
      <c r="D18" s="329">
        <v>2415.9</v>
      </c>
      <c r="E18" s="329">
        <v>2415.9</v>
      </c>
      <c r="F18" s="330">
        <f>G18+H18+I18+J18</f>
        <v>2653.3999999999996</v>
      </c>
      <c r="G18" s="338">
        <f>G19+G20+G21</f>
        <v>626.29999999999995</v>
      </c>
      <c r="H18" s="338">
        <f t="shared" ref="H18:J18" si="1">H19+H20+H21</f>
        <v>722.7</v>
      </c>
      <c r="I18" s="338">
        <f t="shared" si="1"/>
        <v>692.19999999999993</v>
      </c>
      <c r="J18" s="338">
        <f t="shared" si="1"/>
        <v>612.20000000000005</v>
      </c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27.75" customHeight="1" x14ac:dyDescent="0.3">
      <c r="A19" s="339" t="s">
        <v>430</v>
      </c>
      <c r="B19" s="328" t="s">
        <v>431</v>
      </c>
      <c r="C19" s="340">
        <v>1038.8</v>
      </c>
      <c r="D19" s="332">
        <v>966.4</v>
      </c>
      <c r="E19" s="332">
        <v>966.4</v>
      </c>
      <c r="F19" s="341">
        <f>ROUND(SUM(G19:J19),1)</f>
        <v>1061.4000000000001</v>
      </c>
      <c r="G19" s="329">
        <v>250.5</v>
      </c>
      <c r="H19" s="329">
        <v>289.10000000000002</v>
      </c>
      <c r="I19" s="329">
        <v>276.89999999999998</v>
      </c>
      <c r="J19" s="329">
        <v>244.9</v>
      </c>
      <c r="K19" s="320"/>
      <c r="L19" s="320"/>
      <c r="M19" s="320"/>
      <c r="N19" s="320"/>
      <c r="O19" s="320"/>
      <c r="P19" s="320"/>
      <c r="Q19" s="320"/>
      <c r="R19" s="320"/>
      <c r="S19" s="320"/>
      <c r="T19" s="320"/>
      <c r="U19" s="320"/>
      <c r="V19" s="320"/>
      <c r="W19" s="320"/>
      <c r="X19" s="320"/>
      <c r="Y19" s="320"/>
      <c r="Z19" s="320"/>
    </row>
    <row r="20" spans="1:26" ht="27.75" customHeight="1" x14ac:dyDescent="0.3">
      <c r="A20" s="339" t="s">
        <v>395</v>
      </c>
      <c r="B20" s="328" t="s">
        <v>432</v>
      </c>
      <c r="C20" s="329">
        <v>105.8</v>
      </c>
      <c r="D20" s="332">
        <v>268.39999999999998</v>
      </c>
      <c r="E20" s="332">
        <v>268.39999999999998</v>
      </c>
      <c r="F20" s="330">
        <f>ROUND(SUM(G20:J20),1)</f>
        <v>294.8</v>
      </c>
      <c r="G20" s="329">
        <v>69.599999999999994</v>
      </c>
      <c r="H20" s="329">
        <v>80.3</v>
      </c>
      <c r="I20" s="329">
        <v>76.900000000000006</v>
      </c>
      <c r="J20" s="329">
        <v>68</v>
      </c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</row>
    <row r="21" spans="1:26" ht="27.75" customHeight="1" x14ac:dyDescent="0.35">
      <c r="A21" s="339" t="s">
        <v>331</v>
      </c>
      <c r="B21" s="328" t="s">
        <v>433</v>
      </c>
      <c r="C21" s="329">
        <v>1239.4000000000001</v>
      </c>
      <c r="D21" s="342">
        <v>1181.0999999999999</v>
      </c>
      <c r="E21" s="342">
        <v>1181.0999999999999</v>
      </c>
      <c r="F21" s="330">
        <f>ROUND(SUM(G21:J21),1)</f>
        <v>1297.2</v>
      </c>
      <c r="G21" s="329">
        <v>306.2</v>
      </c>
      <c r="H21" s="329">
        <v>353.3</v>
      </c>
      <c r="I21" s="329">
        <v>338.4</v>
      </c>
      <c r="J21" s="329">
        <v>299.3</v>
      </c>
      <c r="K21" s="320"/>
      <c r="L21" s="320"/>
      <c r="M21" s="320"/>
      <c r="N21" s="320"/>
      <c r="O21" s="320"/>
      <c r="P21" s="320"/>
      <c r="Q21" s="320"/>
      <c r="R21" s="320"/>
      <c r="S21" s="320"/>
      <c r="T21" s="320"/>
      <c r="U21" s="320"/>
      <c r="V21" s="320"/>
      <c r="W21" s="320"/>
      <c r="X21" s="320"/>
      <c r="Y21" s="320"/>
      <c r="Z21" s="320"/>
    </row>
    <row r="22" spans="1:26" ht="27.75" customHeight="1" x14ac:dyDescent="0.3">
      <c r="A22" s="339" t="s">
        <v>434</v>
      </c>
      <c r="B22" s="328" t="s">
        <v>435</v>
      </c>
      <c r="C22" s="329">
        <v>42.7</v>
      </c>
      <c r="D22" s="332">
        <v>0</v>
      </c>
      <c r="E22" s="332">
        <v>0</v>
      </c>
      <c r="F22" s="330">
        <f>ROUND(SUM(G22:J22),1)</f>
        <v>0</v>
      </c>
      <c r="G22" s="329">
        <f>'ІІ. Розр. з бюджетом'!G19</f>
        <v>0</v>
      </c>
      <c r="H22" s="329">
        <f>'ІІ. Розр. з бюджетом'!H19</f>
        <v>0</v>
      </c>
      <c r="I22" s="329">
        <f>'ІІ. Розр. з бюджетом'!I19</f>
        <v>0</v>
      </c>
      <c r="J22" s="329">
        <f>'ІІ. Розр. з бюджетом'!J19</f>
        <v>0</v>
      </c>
      <c r="K22" s="320"/>
      <c r="L22" s="320"/>
      <c r="M22" s="320" t="s">
        <v>436</v>
      </c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320"/>
      <c r="Z22" s="320"/>
    </row>
    <row r="23" spans="1:26" ht="27.75" customHeight="1" x14ac:dyDescent="0.3">
      <c r="A23" s="339" t="s">
        <v>437</v>
      </c>
      <c r="B23" s="328" t="s">
        <v>438</v>
      </c>
      <c r="C23" s="332">
        <v>0</v>
      </c>
      <c r="D23" s="332">
        <v>0</v>
      </c>
      <c r="E23" s="332">
        <v>0</v>
      </c>
      <c r="F23" s="330">
        <f>ROUND(SUM(G23:J23),1)</f>
        <v>0</v>
      </c>
      <c r="G23" s="329">
        <v>0</v>
      </c>
      <c r="H23" s="329">
        <v>0</v>
      </c>
      <c r="I23" s="329">
        <v>0</v>
      </c>
      <c r="J23" s="329">
        <v>0</v>
      </c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</row>
    <row r="24" spans="1:26" ht="61.5" customHeight="1" x14ac:dyDescent="0.3">
      <c r="A24" s="343" t="s">
        <v>374</v>
      </c>
      <c r="B24" s="328" t="s">
        <v>439</v>
      </c>
      <c r="C24" s="332">
        <f>'ІІ. Розр. з бюджетом'!C20</f>
        <v>155.1</v>
      </c>
      <c r="D24" s="332">
        <v>0</v>
      </c>
      <c r="E24" s="332">
        <f>'ІІ. Розр. з бюджетом'!E20</f>
        <v>404.3</v>
      </c>
      <c r="F24" s="330">
        <f>SUM(G24:J24)</f>
        <v>0</v>
      </c>
      <c r="G24" s="329">
        <f>'ІІ. Розр. з бюджетом'!G20</f>
        <v>0</v>
      </c>
      <c r="H24" s="329">
        <f>'ІІ. Розр. з бюджетом'!H20</f>
        <v>0</v>
      </c>
      <c r="I24" s="329">
        <f>'ІІ. Розр. з бюджетом'!I20</f>
        <v>0</v>
      </c>
      <c r="J24" s="329">
        <f>'ІІ. Розр. з бюджетом'!J20</f>
        <v>0</v>
      </c>
      <c r="K24" s="320"/>
      <c r="L24" s="320"/>
      <c r="M24" s="320"/>
      <c r="N24" s="320"/>
      <c r="O24" s="320"/>
      <c r="P24" s="320"/>
      <c r="Q24" s="320"/>
      <c r="R24" s="320"/>
      <c r="S24" s="320"/>
      <c r="T24" s="320"/>
      <c r="U24" s="320"/>
      <c r="V24" s="320"/>
      <c r="W24" s="320"/>
      <c r="X24" s="320"/>
      <c r="Y24" s="320"/>
      <c r="Z24" s="320"/>
    </row>
    <row r="25" spans="1:26" ht="27.75" customHeight="1" x14ac:dyDescent="0.2">
      <c r="A25" s="344" t="s">
        <v>440</v>
      </c>
      <c r="B25" s="345" t="s">
        <v>441</v>
      </c>
      <c r="C25" s="346">
        <f>SUM(C26)</f>
        <v>0</v>
      </c>
      <c r="D25" s="346">
        <f>SUM(D26)</f>
        <v>0</v>
      </c>
      <c r="E25" s="346">
        <v>0</v>
      </c>
      <c r="F25" s="327">
        <f>SUM(G25:J25)</f>
        <v>0</v>
      </c>
      <c r="G25" s="346">
        <f>G26</f>
        <v>0</v>
      </c>
      <c r="H25" s="346">
        <f>H26</f>
        <v>0</v>
      </c>
      <c r="I25" s="346">
        <f>I26</f>
        <v>0</v>
      </c>
      <c r="J25" s="346">
        <f>J26</f>
        <v>0</v>
      </c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27.75" customHeight="1" x14ac:dyDescent="0.35">
      <c r="A26" s="347" t="s">
        <v>442</v>
      </c>
      <c r="B26" s="328" t="s">
        <v>443</v>
      </c>
      <c r="C26" s="329"/>
      <c r="D26" s="332"/>
      <c r="E26" s="332"/>
      <c r="F26" s="330">
        <f>ROUND(SUM(G25:J25),1)</f>
        <v>0</v>
      </c>
      <c r="G26" s="338">
        <v>0</v>
      </c>
      <c r="H26" s="338">
        <v>0</v>
      </c>
      <c r="I26" s="338">
        <v>0</v>
      </c>
      <c r="J26" s="338">
        <v>0</v>
      </c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39" customHeight="1" x14ac:dyDescent="0.2">
      <c r="A27" s="303" t="s">
        <v>444</v>
      </c>
      <c r="B27" s="326" t="s">
        <v>445</v>
      </c>
      <c r="C27" s="327">
        <f>ROUND(C5-C15,2)</f>
        <v>557.6</v>
      </c>
      <c r="D27" s="327">
        <f t="shared" ref="D27:J27" si="2">ROUND(D5-D15,1)</f>
        <v>-372</v>
      </c>
      <c r="E27" s="327">
        <f t="shared" si="2"/>
        <v>-408.7</v>
      </c>
      <c r="F27" s="327">
        <f t="shared" si="2"/>
        <v>-755.4</v>
      </c>
      <c r="G27" s="327">
        <f t="shared" si="2"/>
        <v>-259.39999999999998</v>
      </c>
      <c r="H27" s="327">
        <f t="shared" si="2"/>
        <v>-168.1</v>
      </c>
      <c r="I27" s="327">
        <f t="shared" si="2"/>
        <v>-143.69999999999999</v>
      </c>
      <c r="J27" s="327">
        <f t="shared" si="2"/>
        <v>-184.2</v>
      </c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8.5" customHeight="1" x14ac:dyDescent="0.2">
      <c r="A28" s="819" t="s">
        <v>446</v>
      </c>
      <c r="B28" s="819"/>
      <c r="C28" s="819"/>
      <c r="D28" s="819"/>
      <c r="E28" s="819"/>
      <c r="F28" s="819"/>
      <c r="G28" s="819"/>
      <c r="H28" s="819"/>
      <c r="I28" s="819"/>
      <c r="J28" s="819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39" customHeight="1" x14ac:dyDescent="0.2">
      <c r="A29" s="303" t="s">
        <v>447</v>
      </c>
      <c r="B29" s="326" t="s">
        <v>448</v>
      </c>
      <c r="C29" s="330"/>
      <c r="D29" s="330">
        <f>ROUND(SUM(D30:D37),2)</f>
        <v>0</v>
      </c>
      <c r="E29" s="330">
        <f>ROUND(SUM(E30:E37),2)</f>
        <v>0</v>
      </c>
      <c r="F29" s="330">
        <f>ROUND(SUM(F30:F37),1)</f>
        <v>0</v>
      </c>
      <c r="G29" s="330">
        <f>ROUND(SUM(G30:G37),1)</f>
        <v>0</v>
      </c>
      <c r="H29" s="330">
        <f>ROUND(SUM(H30:H37),1)</f>
        <v>0</v>
      </c>
      <c r="I29" s="330">
        <f>ROUND(SUM(I30:I37),1)</f>
        <v>0</v>
      </c>
      <c r="J29" s="330">
        <f>ROUND(SUM(J30:J37),1)</f>
        <v>0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1" customHeight="1" x14ac:dyDescent="0.2">
      <c r="A30" s="293" t="s">
        <v>449</v>
      </c>
      <c r="B30" s="328" t="s">
        <v>450</v>
      </c>
      <c r="C30" s="332">
        <v>0</v>
      </c>
      <c r="D30" s="332">
        <v>0</v>
      </c>
      <c r="E30" s="332">
        <v>0</v>
      </c>
      <c r="F30" s="330">
        <f>ROUND(SUM(G30:J30),1)</f>
        <v>0</v>
      </c>
      <c r="G30" s="332">
        <f t="shared" ref="G30:J32" si="3">ROUND(SUM(G33),1)</f>
        <v>0</v>
      </c>
      <c r="H30" s="332">
        <f t="shared" si="3"/>
        <v>0</v>
      </c>
      <c r="I30" s="332">
        <f t="shared" si="3"/>
        <v>0</v>
      </c>
      <c r="J30" s="332">
        <f t="shared" si="3"/>
        <v>0</v>
      </c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1" customHeight="1" x14ac:dyDescent="0.2">
      <c r="A31" s="293" t="s">
        <v>451</v>
      </c>
      <c r="B31" s="328" t="s">
        <v>452</v>
      </c>
      <c r="C31" s="332">
        <v>0</v>
      </c>
      <c r="D31" s="332">
        <v>0</v>
      </c>
      <c r="E31" s="332">
        <v>0</v>
      </c>
      <c r="F31" s="330">
        <f>ROUND(SUM(G31:J31),1)</f>
        <v>0</v>
      </c>
      <c r="G31" s="332">
        <f t="shared" si="3"/>
        <v>0</v>
      </c>
      <c r="H31" s="332">
        <f t="shared" si="3"/>
        <v>0</v>
      </c>
      <c r="I31" s="332">
        <f t="shared" si="3"/>
        <v>0</v>
      </c>
      <c r="J31" s="332">
        <f t="shared" si="3"/>
        <v>0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39" customHeight="1" x14ac:dyDescent="0.2">
      <c r="A32" s="293" t="s">
        <v>453</v>
      </c>
      <c r="B32" s="328" t="s">
        <v>454</v>
      </c>
      <c r="C32" s="332">
        <v>0</v>
      </c>
      <c r="D32" s="332">
        <v>0</v>
      </c>
      <c r="E32" s="332">
        <v>0</v>
      </c>
      <c r="F32" s="330">
        <f>ROUND(SUM(G32:J32),1)</f>
        <v>0</v>
      </c>
      <c r="G32" s="332">
        <f t="shared" si="3"/>
        <v>0</v>
      </c>
      <c r="H32" s="332">
        <f t="shared" si="3"/>
        <v>0</v>
      </c>
      <c r="I32" s="332">
        <f t="shared" si="3"/>
        <v>0</v>
      </c>
      <c r="J32" s="332">
        <f t="shared" si="3"/>
        <v>0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1" customHeight="1" x14ac:dyDescent="0.2">
      <c r="A33" s="293" t="s">
        <v>455</v>
      </c>
      <c r="B33" s="328" t="s">
        <v>456</v>
      </c>
      <c r="C33" s="332">
        <v>0</v>
      </c>
      <c r="D33" s="332">
        <v>0</v>
      </c>
      <c r="E33" s="332">
        <v>0</v>
      </c>
      <c r="F33" s="330">
        <f>ROUND(SUM(G33:J33),0)</f>
        <v>0</v>
      </c>
      <c r="G33" s="332">
        <f t="shared" ref="G33:J35" si="4">ROUND(SUM(G35),1)</f>
        <v>0</v>
      </c>
      <c r="H33" s="332">
        <f t="shared" si="4"/>
        <v>0</v>
      </c>
      <c r="I33" s="332">
        <f t="shared" si="4"/>
        <v>0</v>
      </c>
      <c r="J33" s="332">
        <f t="shared" si="4"/>
        <v>0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21" customHeight="1" x14ac:dyDescent="0.2">
      <c r="A34" s="293" t="s">
        <v>457</v>
      </c>
      <c r="B34" s="348" t="s">
        <v>458</v>
      </c>
      <c r="C34" s="332">
        <v>0</v>
      </c>
      <c r="D34" s="332">
        <v>0</v>
      </c>
      <c r="E34" s="332">
        <v>0</v>
      </c>
      <c r="F34" s="330">
        <f>ROUND(SUM(G34:J34),0)</f>
        <v>0</v>
      </c>
      <c r="G34" s="332">
        <f t="shared" si="4"/>
        <v>0</v>
      </c>
      <c r="H34" s="332">
        <f t="shared" si="4"/>
        <v>0</v>
      </c>
      <c r="I34" s="332">
        <f t="shared" si="4"/>
        <v>0</v>
      </c>
      <c r="J34" s="332">
        <f t="shared" si="4"/>
        <v>0</v>
      </c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21" customHeight="1" x14ac:dyDescent="0.2">
      <c r="A35" s="349" t="s">
        <v>459</v>
      </c>
      <c r="B35" s="328" t="s">
        <v>460</v>
      </c>
      <c r="C35" s="332"/>
      <c r="D35" s="332">
        <v>0</v>
      </c>
      <c r="E35" s="332">
        <v>0</v>
      </c>
      <c r="F35" s="330">
        <f>ROUND(SUM(G35:J35),1)</f>
        <v>0</v>
      </c>
      <c r="G35" s="332">
        <f t="shared" si="4"/>
        <v>0</v>
      </c>
      <c r="H35" s="332">
        <f t="shared" si="4"/>
        <v>0</v>
      </c>
      <c r="I35" s="332">
        <f t="shared" si="4"/>
        <v>0</v>
      </c>
      <c r="J35" s="332">
        <f t="shared" si="4"/>
        <v>0</v>
      </c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21" customHeight="1" x14ac:dyDescent="0.2">
      <c r="A36" s="349" t="s">
        <v>461</v>
      </c>
      <c r="B36" s="328" t="s">
        <v>462</v>
      </c>
      <c r="C36" s="332">
        <v>0</v>
      </c>
      <c r="D36" s="332">
        <v>0</v>
      </c>
      <c r="E36" s="332">
        <v>0</v>
      </c>
      <c r="F36" s="330">
        <f>ROUND(SUM(G36:J36),0)</f>
        <v>0</v>
      </c>
      <c r="G36" s="332">
        <v>0</v>
      </c>
      <c r="H36" s="332">
        <v>0</v>
      </c>
      <c r="I36" s="332">
        <v>0</v>
      </c>
      <c r="J36" s="332">
        <v>0</v>
      </c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33.75" customHeight="1" x14ac:dyDescent="0.2">
      <c r="A37" s="349" t="s">
        <v>463</v>
      </c>
      <c r="B37" s="348" t="s">
        <v>464</v>
      </c>
      <c r="C37" s="332">
        <v>0</v>
      </c>
      <c r="D37" s="332">
        <v>0</v>
      </c>
      <c r="E37" s="332">
        <v>0</v>
      </c>
      <c r="F37" s="330">
        <f>ROUND(SUM(G37:J37),1)</f>
        <v>0</v>
      </c>
      <c r="G37" s="332">
        <f>ROUND(SUM(G38),1)</f>
        <v>0</v>
      </c>
      <c r="H37" s="332">
        <f>ROUND(SUM(H38),1)</f>
        <v>0</v>
      </c>
      <c r="I37" s="332">
        <f>ROUND(SUM(I38),1)</f>
        <v>0</v>
      </c>
      <c r="J37" s="332">
        <f>ROUND(SUM(J38),1)</f>
        <v>0</v>
      </c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6.25" customHeight="1" x14ac:dyDescent="0.2">
      <c r="A38" s="293" t="s">
        <v>465</v>
      </c>
      <c r="B38" s="328" t="s">
        <v>466</v>
      </c>
      <c r="C38" s="332">
        <v>0</v>
      </c>
      <c r="D38" s="332">
        <v>0</v>
      </c>
      <c r="E38" s="332">
        <v>0</v>
      </c>
      <c r="F38" s="330">
        <f>SUM(G38:J38)</f>
        <v>0</v>
      </c>
      <c r="G38" s="332">
        <v>0</v>
      </c>
      <c r="H38" s="332">
        <v>0</v>
      </c>
      <c r="I38" s="332">
        <v>0</v>
      </c>
      <c r="J38" s="332">
        <v>0</v>
      </c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36" customHeight="1" x14ac:dyDescent="0.2">
      <c r="A39" s="303" t="s">
        <v>467</v>
      </c>
      <c r="B39" s="326" t="s">
        <v>468</v>
      </c>
      <c r="C39" s="330">
        <f>ROUND(SUM(C40,C42),1)</f>
        <v>0</v>
      </c>
      <c r="D39" s="330">
        <f>ROUND(SUM(D40,D42),1)</f>
        <v>0</v>
      </c>
      <c r="E39" s="330">
        <f>ROUND(SUM(E40,E42),1)</f>
        <v>0</v>
      </c>
      <c r="F39" s="330">
        <f>ROUND(SUM(G39:J39),0)</f>
        <v>0</v>
      </c>
      <c r="G39" s="330">
        <f>ROUND(SUM(G40,G41:G44),1)</f>
        <v>0</v>
      </c>
      <c r="H39" s="330">
        <f>ROUND(SUM(H40,H41:H44),1)</f>
        <v>0</v>
      </c>
      <c r="I39" s="330">
        <f>ROUND(SUM(I40,I41:I44),1)</f>
        <v>0</v>
      </c>
      <c r="J39" s="330">
        <f>ROUND(SUM(J40,J41:J44),1)</f>
        <v>0</v>
      </c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54.75" customHeight="1" x14ac:dyDescent="0.2">
      <c r="A40" s="293" t="s">
        <v>469</v>
      </c>
      <c r="B40" s="328" t="s">
        <v>470</v>
      </c>
      <c r="C40" s="332">
        <v>0</v>
      </c>
      <c r="D40" s="332">
        <v>0</v>
      </c>
      <c r="E40" s="332">
        <v>0</v>
      </c>
      <c r="F40" s="330">
        <f>ROUND(SUM(G40:J40),1)</f>
        <v>0</v>
      </c>
      <c r="G40" s="332">
        <v>0</v>
      </c>
      <c r="H40" s="332">
        <v>0</v>
      </c>
      <c r="I40" s="332">
        <v>0</v>
      </c>
      <c r="J40" s="332">
        <v>0</v>
      </c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58.5" customHeight="1" x14ac:dyDescent="0.2">
      <c r="A41" s="293" t="s">
        <v>471</v>
      </c>
      <c r="B41" s="328" t="s">
        <v>472</v>
      </c>
      <c r="C41" s="332">
        <v>0</v>
      </c>
      <c r="D41" s="332">
        <v>0</v>
      </c>
      <c r="E41" s="332">
        <v>0</v>
      </c>
      <c r="F41" s="330">
        <f>ROUND(SUM(G41:J41),1)</f>
        <v>0</v>
      </c>
      <c r="G41" s="332">
        <v>0</v>
      </c>
      <c r="H41" s="332">
        <v>0</v>
      </c>
      <c r="I41" s="332">
        <v>0</v>
      </c>
      <c r="J41" s="332">
        <v>0</v>
      </c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42" customHeight="1" x14ac:dyDescent="0.2">
      <c r="A42" s="293" t="s">
        <v>473</v>
      </c>
      <c r="B42" s="328" t="s">
        <v>474</v>
      </c>
      <c r="C42" s="332">
        <v>0</v>
      </c>
      <c r="D42" s="332">
        <v>0</v>
      </c>
      <c r="E42" s="332">
        <v>0</v>
      </c>
      <c r="F42" s="330">
        <f>ROUND(SUM(G42:J42),1)</f>
        <v>0</v>
      </c>
      <c r="G42" s="332">
        <v>0</v>
      </c>
      <c r="H42" s="332">
        <v>0</v>
      </c>
      <c r="I42" s="332">
        <v>0</v>
      </c>
      <c r="J42" s="332">
        <v>0</v>
      </c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21" customHeight="1" x14ac:dyDescent="0.2">
      <c r="A43" s="293" t="s">
        <v>475</v>
      </c>
      <c r="B43" s="328" t="s">
        <v>476</v>
      </c>
      <c r="C43" s="332">
        <v>0</v>
      </c>
      <c r="D43" s="332">
        <v>0</v>
      </c>
      <c r="E43" s="332">
        <v>0</v>
      </c>
      <c r="F43" s="330">
        <f>ROUND(SUM(G43:J43),1)</f>
        <v>0</v>
      </c>
      <c r="G43" s="332">
        <v>0</v>
      </c>
      <c r="H43" s="332">
        <v>0</v>
      </c>
      <c r="I43" s="332">
        <v>0</v>
      </c>
      <c r="J43" s="332">
        <v>0</v>
      </c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21" customHeight="1" x14ac:dyDescent="0.2">
      <c r="A44" s="293" t="s">
        <v>477</v>
      </c>
      <c r="B44" s="328" t="s">
        <v>478</v>
      </c>
      <c r="C44" s="332">
        <v>0</v>
      </c>
      <c r="D44" s="332">
        <v>0</v>
      </c>
      <c r="E44" s="332">
        <v>0</v>
      </c>
      <c r="F44" s="330">
        <f>ROUND(SUM(G44:J44),0)</f>
        <v>0</v>
      </c>
      <c r="G44" s="332">
        <f>ROUND(SUM(G45:G46),1)</f>
        <v>0</v>
      </c>
      <c r="H44" s="332">
        <f>ROUND(SUM(H45:H46),1)</f>
        <v>0</v>
      </c>
      <c r="I44" s="332">
        <f>ROUND(SUM(I45:I46),1)</f>
        <v>0</v>
      </c>
      <c r="J44" s="332">
        <f>ROUND(SUM(J45:J46),1)</f>
        <v>0</v>
      </c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39" customHeight="1" x14ac:dyDescent="0.2">
      <c r="A45" s="334" t="s">
        <v>479</v>
      </c>
      <c r="B45" s="328" t="s">
        <v>480</v>
      </c>
      <c r="C45" s="332">
        <v>0</v>
      </c>
      <c r="D45" s="332">
        <v>0</v>
      </c>
      <c r="E45" s="332">
        <v>0</v>
      </c>
      <c r="F45" s="330">
        <f>ROUND(SUM(G45:J45),2)</f>
        <v>0</v>
      </c>
      <c r="G45" s="332">
        <v>0</v>
      </c>
      <c r="H45" s="332">
        <v>0</v>
      </c>
      <c r="I45" s="332">
        <v>0</v>
      </c>
      <c r="J45" s="332">
        <v>0</v>
      </c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21" customHeight="1" x14ac:dyDescent="0.2">
      <c r="A46" s="334" t="s">
        <v>481</v>
      </c>
      <c r="B46" s="328" t="s">
        <v>482</v>
      </c>
      <c r="C46" s="332">
        <v>0</v>
      </c>
      <c r="D46" s="332">
        <v>0</v>
      </c>
      <c r="E46" s="332">
        <v>0</v>
      </c>
      <c r="F46" s="330">
        <f>ROUND(SUM(G46:J46),2)</f>
        <v>0</v>
      </c>
      <c r="G46" s="332">
        <v>0</v>
      </c>
      <c r="H46" s="332">
        <v>0</v>
      </c>
      <c r="I46" s="332">
        <v>0</v>
      </c>
      <c r="J46" s="332">
        <v>0</v>
      </c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32.25" customHeight="1" x14ac:dyDescent="0.2">
      <c r="A47" s="350" t="s">
        <v>483</v>
      </c>
      <c r="B47" s="351" t="s">
        <v>484</v>
      </c>
      <c r="C47" s="330">
        <f>ROUND(C29-C39,1)</f>
        <v>0</v>
      </c>
      <c r="D47" s="330">
        <f>ROUND(D29-D39,1)</f>
        <v>0</v>
      </c>
      <c r="E47" s="330">
        <f>ROUND(E29-E39,1)</f>
        <v>0</v>
      </c>
      <c r="F47" s="330">
        <f>ROUND(SUM(G47:J47),1)</f>
        <v>0</v>
      </c>
      <c r="G47" s="330">
        <f>ROUND(G29-G39,1)</f>
        <v>0</v>
      </c>
      <c r="H47" s="330">
        <f>ROUND(H29-H39,1)</f>
        <v>0</v>
      </c>
      <c r="I47" s="330">
        <f>ROUND(I29-I39,1)</f>
        <v>0</v>
      </c>
      <c r="J47" s="330">
        <f>ROUND(J29-J39,1)</f>
        <v>0</v>
      </c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20.25" customHeight="1" x14ac:dyDescent="0.2">
      <c r="A48" s="352" t="s">
        <v>485</v>
      </c>
      <c r="B48" s="353"/>
      <c r="C48" s="354"/>
      <c r="D48" s="354"/>
      <c r="E48" s="354"/>
      <c r="F48" s="355"/>
      <c r="G48" s="354"/>
      <c r="H48" s="354"/>
      <c r="I48" s="354"/>
      <c r="J48" s="356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41.25" customHeight="1" x14ac:dyDescent="0.2">
      <c r="A49" s="357" t="s">
        <v>486</v>
      </c>
      <c r="B49" s="358" t="s">
        <v>487</v>
      </c>
      <c r="C49" s="330">
        <f>C60</f>
        <v>19553.8</v>
      </c>
      <c r="D49" s="330">
        <v>0</v>
      </c>
      <c r="E49" s="330">
        <v>0</v>
      </c>
      <c r="F49" s="330">
        <f>ROUND(F50+F51+F55+F59+F60,1)</f>
        <v>0</v>
      </c>
      <c r="G49" s="330">
        <f>ROUND(G50+G51+G55+G59+G60,1)</f>
        <v>0</v>
      </c>
      <c r="H49" s="330">
        <f>ROUND(H50+H51+H55+H59+H60,1)</f>
        <v>0</v>
      </c>
      <c r="I49" s="330">
        <f>ROUND(I50+I51+I55+I59+I60,1)</f>
        <v>0</v>
      </c>
      <c r="J49" s="330">
        <f>ROUND(J50+J51+J55+J59+J60,1)</f>
        <v>0</v>
      </c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26.25" customHeight="1" x14ac:dyDescent="0.2">
      <c r="A50" s="347" t="s">
        <v>488</v>
      </c>
      <c r="B50" s="359" t="s">
        <v>489</v>
      </c>
      <c r="C50" s="332">
        <v>0</v>
      </c>
      <c r="D50" s="332">
        <v>0</v>
      </c>
      <c r="E50" s="332">
        <v>0</v>
      </c>
      <c r="F50" s="330">
        <f>ROUND(SUM(G50:J50),2)</f>
        <v>0</v>
      </c>
      <c r="G50" s="332">
        <v>0</v>
      </c>
      <c r="H50" s="332">
        <v>0</v>
      </c>
      <c r="I50" s="332">
        <v>0</v>
      </c>
      <c r="J50" s="332">
        <v>0</v>
      </c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37.5" customHeight="1" x14ac:dyDescent="0.2">
      <c r="A51" s="293" t="s">
        <v>490</v>
      </c>
      <c r="B51" s="359" t="s">
        <v>491</v>
      </c>
      <c r="C51" s="332">
        <v>0</v>
      </c>
      <c r="D51" s="332">
        <v>0</v>
      </c>
      <c r="E51" s="332">
        <v>0</v>
      </c>
      <c r="F51" s="330">
        <f t="shared" ref="F51:F60" si="5">ROUND(SUM(G51:J51),1)</f>
        <v>0</v>
      </c>
      <c r="G51" s="332">
        <f>ROUND(SUM(G52:G54),1)</f>
        <v>0</v>
      </c>
      <c r="H51" s="332">
        <f>ROUND(SUM(H52:H54),1)</f>
        <v>0</v>
      </c>
      <c r="I51" s="332">
        <f>ROUND(SUM(I52:I54),1)</f>
        <v>0</v>
      </c>
      <c r="J51" s="332">
        <f>ROUND(SUM(J52:J54),1)</f>
        <v>0</v>
      </c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4.75" customHeight="1" x14ac:dyDescent="0.2">
      <c r="A52" s="293" t="s">
        <v>492</v>
      </c>
      <c r="B52" s="359" t="s">
        <v>493</v>
      </c>
      <c r="C52" s="332">
        <v>0</v>
      </c>
      <c r="D52" s="332">
        <v>0</v>
      </c>
      <c r="E52" s="332">
        <v>0</v>
      </c>
      <c r="F52" s="330">
        <f t="shared" si="5"/>
        <v>0</v>
      </c>
      <c r="G52" s="332">
        <v>0</v>
      </c>
      <c r="H52" s="332">
        <v>0</v>
      </c>
      <c r="I52" s="332">
        <v>0</v>
      </c>
      <c r="J52" s="332">
        <v>0</v>
      </c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4.75" customHeight="1" x14ac:dyDescent="0.2">
      <c r="A53" s="293" t="s">
        <v>494</v>
      </c>
      <c r="B53" s="359" t="s">
        <v>495</v>
      </c>
      <c r="C53" s="332">
        <v>0</v>
      </c>
      <c r="D53" s="332">
        <v>0</v>
      </c>
      <c r="E53" s="332">
        <v>0</v>
      </c>
      <c r="F53" s="330">
        <f t="shared" si="5"/>
        <v>0</v>
      </c>
      <c r="G53" s="332">
        <v>0</v>
      </c>
      <c r="H53" s="332">
        <v>0</v>
      </c>
      <c r="I53" s="332">
        <v>0</v>
      </c>
      <c r="J53" s="332">
        <v>0</v>
      </c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4.75" customHeight="1" x14ac:dyDescent="0.2">
      <c r="A54" s="293" t="s">
        <v>496</v>
      </c>
      <c r="B54" s="359" t="s">
        <v>497</v>
      </c>
      <c r="C54" s="332">
        <v>0</v>
      </c>
      <c r="D54" s="332">
        <v>0</v>
      </c>
      <c r="E54" s="332">
        <v>0</v>
      </c>
      <c r="F54" s="330">
        <f t="shared" si="5"/>
        <v>0</v>
      </c>
      <c r="G54" s="332">
        <v>0</v>
      </c>
      <c r="H54" s="332">
        <v>0</v>
      </c>
      <c r="I54" s="332">
        <v>0</v>
      </c>
      <c r="J54" s="332">
        <v>0</v>
      </c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37.5" customHeight="1" x14ac:dyDescent="0.2">
      <c r="A55" s="293" t="s">
        <v>498</v>
      </c>
      <c r="B55" s="359" t="s">
        <v>499</v>
      </c>
      <c r="C55" s="332">
        <v>0</v>
      </c>
      <c r="D55" s="332">
        <v>0</v>
      </c>
      <c r="E55" s="332">
        <v>0</v>
      </c>
      <c r="F55" s="330">
        <f t="shared" si="5"/>
        <v>0</v>
      </c>
      <c r="G55" s="332">
        <f>ROUND(SUM(G56:G58),1)</f>
        <v>0</v>
      </c>
      <c r="H55" s="332">
        <f>ROUND(SUM(H56:H58),1)</f>
        <v>0</v>
      </c>
      <c r="I55" s="332">
        <f>ROUND(SUM(I56:I58),1)</f>
        <v>0</v>
      </c>
      <c r="J55" s="332">
        <f>ROUND(SUM(J56:J58),1)</f>
        <v>0</v>
      </c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1" customHeight="1" x14ac:dyDescent="0.2">
      <c r="A56" s="293" t="s">
        <v>492</v>
      </c>
      <c r="B56" s="359" t="s">
        <v>500</v>
      </c>
      <c r="C56" s="332">
        <v>0</v>
      </c>
      <c r="D56" s="332">
        <v>0</v>
      </c>
      <c r="E56" s="332">
        <v>0</v>
      </c>
      <c r="F56" s="330">
        <f t="shared" si="5"/>
        <v>0</v>
      </c>
      <c r="G56" s="332">
        <v>0</v>
      </c>
      <c r="H56" s="332">
        <v>0</v>
      </c>
      <c r="I56" s="332">
        <v>0</v>
      </c>
      <c r="J56" s="332">
        <v>0</v>
      </c>
      <c r="K56" s="10"/>
      <c r="L56" s="10"/>
      <c r="M56" s="57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1" customHeight="1" x14ac:dyDescent="0.2">
      <c r="A57" s="293" t="s">
        <v>494</v>
      </c>
      <c r="B57" s="359" t="s">
        <v>501</v>
      </c>
      <c r="C57" s="332">
        <v>0</v>
      </c>
      <c r="D57" s="332">
        <v>0</v>
      </c>
      <c r="E57" s="332">
        <v>0</v>
      </c>
      <c r="F57" s="330">
        <f t="shared" si="5"/>
        <v>0</v>
      </c>
      <c r="G57" s="332">
        <v>0</v>
      </c>
      <c r="H57" s="332">
        <v>0</v>
      </c>
      <c r="I57" s="332">
        <v>0</v>
      </c>
      <c r="J57" s="332">
        <v>0</v>
      </c>
      <c r="K57" s="10"/>
      <c r="L57" s="10"/>
      <c r="M57" s="57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1" customHeight="1" x14ac:dyDescent="0.2">
      <c r="A58" s="293" t="s">
        <v>496</v>
      </c>
      <c r="B58" s="359" t="s">
        <v>502</v>
      </c>
      <c r="C58" s="332">
        <v>0</v>
      </c>
      <c r="D58" s="332">
        <v>0</v>
      </c>
      <c r="E58" s="332">
        <v>0</v>
      </c>
      <c r="F58" s="330">
        <f t="shared" si="5"/>
        <v>0</v>
      </c>
      <c r="G58" s="332">
        <v>0</v>
      </c>
      <c r="H58" s="332">
        <v>0</v>
      </c>
      <c r="I58" s="332">
        <v>0</v>
      </c>
      <c r="J58" s="332">
        <v>0</v>
      </c>
      <c r="K58" s="10"/>
      <c r="L58" s="10"/>
      <c r="M58" s="57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4.75" customHeight="1" x14ac:dyDescent="0.2">
      <c r="A59" s="293" t="s">
        <v>503</v>
      </c>
      <c r="B59" s="359" t="s">
        <v>504</v>
      </c>
      <c r="C59" s="332">
        <v>0</v>
      </c>
      <c r="D59" s="332">
        <v>0</v>
      </c>
      <c r="E59" s="332">
        <v>0</v>
      </c>
      <c r="F59" s="330">
        <f t="shared" si="5"/>
        <v>0</v>
      </c>
      <c r="G59" s="332">
        <v>0</v>
      </c>
      <c r="H59" s="332">
        <v>0</v>
      </c>
      <c r="I59" s="332">
        <v>0</v>
      </c>
      <c r="J59" s="332">
        <v>0</v>
      </c>
      <c r="K59" s="10"/>
      <c r="L59" s="10"/>
      <c r="M59" s="57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37.5" customHeight="1" x14ac:dyDescent="0.2">
      <c r="A60" s="293" t="s">
        <v>505</v>
      </c>
      <c r="B60" s="359" t="s">
        <v>506</v>
      </c>
      <c r="C60" s="332">
        <v>19553.8</v>
      </c>
      <c r="D60" s="332">
        <v>0</v>
      </c>
      <c r="E60" s="332">
        <v>0</v>
      </c>
      <c r="F60" s="330">
        <f t="shared" si="5"/>
        <v>0</v>
      </c>
      <c r="G60" s="332">
        <f>(('I. Фін результат_8,0%'!G9)/5*100)+('I. Фін результат_8,0%'!G10)/8*100</f>
        <v>0</v>
      </c>
      <c r="H60" s="332">
        <f>(('I. Фін результат_8,0%'!H9)/5*100)+('I. Фін результат_8,0%'!H10)/8*100</f>
        <v>0</v>
      </c>
      <c r="I60" s="332">
        <f>(('I. Фін результат_8,0%'!I9)/5*100)+('I. Фін результат_8,0%'!I10)/8*100</f>
        <v>0</v>
      </c>
      <c r="J60" s="332">
        <f>(('I. Фін результат_8,0%'!J9)/5*100)+('I. Фін результат_8,0%'!J10)/8*100</f>
        <v>0</v>
      </c>
      <c r="K60" s="360"/>
      <c r="L60" s="360"/>
      <c r="M60" s="361"/>
      <c r="N60" s="360"/>
      <c r="O60" s="360"/>
      <c r="P60" s="360"/>
      <c r="Q60" s="360"/>
      <c r="R60" s="360"/>
      <c r="S60" s="360"/>
      <c r="T60" s="360"/>
      <c r="U60" s="360"/>
      <c r="V60" s="360"/>
      <c r="W60" s="360"/>
      <c r="X60" s="360"/>
      <c r="Y60" s="360"/>
      <c r="Z60" s="360"/>
    </row>
    <row r="61" spans="1:26" ht="39.75" customHeight="1" x14ac:dyDescent="0.2">
      <c r="A61" s="303" t="s">
        <v>507</v>
      </c>
      <c r="B61" s="326" t="s">
        <v>508</v>
      </c>
      <c r="C61" s="327">
        <v>0</v>
      </c>
      <c r="D61" s="327">
        <v>0</v>
      </c>
      <c r="E61" s="327">
        <v>0</v>
      </c>
      <c r="F61" s="327">
        <f t="shared" ref="F61:J61" si="6">SUM(F62:F71)</f>
        <v>0</v>
      </c>
      <c r="G61" s="327">
        <f t="shared" si="6"/>
        <v>0</v>
      </c>
      <c r="H61" s="327">
        <f t="shared" si="6"/>
        <v>0</v>
      </c>
      <c r="I61" s="327">
        <f t="shared" si="6"/>
        <v>0</v>
      </c>
      <c r="J61" s="327">
        <f t="shared" si="6"/>
        <v>0</v>
      </c>
      <c r="K61" s="10"/>
      <c r="L61" s="10"/>
      <c r="M61" s="10"/>
      <c r="N61" s="57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34.5" customHeight="1" x14ac:dyDescent="0.2">
      <c r="A62" s="293" t="s">
        <v>509</v>
      </c>
      <c r="B62" s="328" t="s">
        <v>510</v>
      </c>
      <c r="C62" s="332">
        <v>0</v>
      </c>
      <c r="D62" s="332">
        <v>0</v>
      </c>
      <c r="E62" s="332">
        <v>0</v>
      </c>
      <c r="F62" s="341">
        <f>ROUND(SUM(G62:J62),1)</f>
        <v>0</v>
      </c>
      <c r="G62" s="329">
        <f>'ІІ. Розр. з бюджетом'!G7</f>
        <v>0</v>
      </c>
      <c r="H62" s="329">
        <f>'ІІ. Розр. з бюджетом'!H7</f>
        <v>0</v>
      </c>
      <c r="I62" s="329">
        <f>'ІІ. Розр. з бюджетом'!I7</f>
        <v>0</v>
      </c>
      <c r="J62" s="329">
        <f>'ІІ. Розр. з бюджетом'!J7</f>
        <v>0</v>
      </c>
      <c r="K62" s="10"/>
      <c r="L62" s="10"/>
      <c r="M62" s="10" t="s">
        <v>436</v>
      </c>
      <c r="N62" s="57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34.5" customHeight="1" x14ac:dyDescent="0.2">
      <c r="A63" s="293" t="s">
        <v>511</v>
      </c>
      <c r="B63" s="328" t="s">
        <v>512</v>
      </c>
      <c r="C63" s="332">
        <f>ROUND(SUM(C64:C66),2)</f>
        <v>0</v>
      </c>
      <c r="D63" s="332">
        <f>ROUND(SUM(D64:D66),2)</f>
        <v>0</v>
      </c>
      <c r="E63" s="332">
        <f>ROUND(SUM(E64:E66),2)</f>
        <v>0</v>
      </c>
      <c r="F63" s="330">
        <f>ROUND(SUM(G63:J63),1)</f>
        <v>0</v>
      </c>
      <c r="G63" s="332">
        <f>ROUND(SUM(G64:G66),1)</f>
        <v>0</v>
      </c>
      <c r="H63" s="332">
        <f>ROUND(SUM(H64:H66),1)</f>
        <v>0</v>
      </c>
      <c r="I63" s="332">
        <v>0</v>
      </c>
      <c r="J63" s="332">
        <f>ROUND(SUM(J64:J66),1)</f>
        <v>0</v>
      </c>
      <c r="K63" s="10"/>
      <c r="L63" s="10"/>
      <c r="M63" s="10"/>
      <c r="N63" s="57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4" customHeight="1" x14ac:dyDescent="0.2">
      <c r="A64" s="293" t="s">
        <v>492</v>
      </c>
      <c r="B64" s="328" t="s">
        <v>513</v>
      </c>
      <c r="C64" s="332">
        <v>0</v>
      </c>
      <c r="D64" s="332">
        <v>0</v>
      </c>
      <c r="E64" s="332">
        <v>0</v>
      </c>
      <c r="F64" s="330">
        <f>ROUND(SUM(G64:J64),1)</f>
        <v>0</v>
      </c>
      <c r="G64" s="332">
        <v>0</v>
      </c>
      <c r="H64" s="332">
        <v>0</v>
      </c>
      <c r="I64" s="332">
        <v>0</v>
      </c>
      <c r="J64" s="332">
        <v>0</v>
      </c>
      <c r="K64" s="10"/>
      <c r="L64" s="10"/>
      <c r="M64" s="10"/>
      <c r="N64" s="57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24" customHeight="1" x14ac:dyDescent="0.2">
      <c r="A65" s="293" t="s">
        <v>494</v>
      </c>
      <c r="B65" s="328" t="s">
        <v>514</v>
      </c>
      <c r="C65" s="332">
        <v>0</v>
      </c>
      <c r="D65" s="332">
        <v>0</v>
      </c>
      <c r="E65" s="332">
        <v>0</v>
      </c>
      <c r="F65" s="330">
        <f t="shared" ref="F65:F70" si="7">ROUND(SUM(G65:J65),0)</f>
        <v>0</v>
      </c>
      <c r="G65" s="332">
        <v>0</v>
      </c>
      <c r="H65" s="332">
        <v>0</v>
      </c>
      <c r="I65" s="332">
        <v>0</v>
      </c>
      <c r="J65" s="332">
        <v>0</v>
      </c>
      <c r="K65" s="10"/>
      <c r="L65" s="10"/>
      <c r="M65" s="10"/>
      <c r="N65" s="57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24" customHeight="1" x14ac:dyDescent="0.2">
      <c r="A66" s="293" t="s">
        <v>496</v>
      </c>
      <c r="B66" s="328" t="s">
        <v>515</v>
      </c>
      <c r="C66" s="332">
        <v>0</v>
      </c>
      <c r="D66" s="332">
        <v>0</v>
      </c>
      <c r="E66" s="332">
        <v>0</v>
      </c>
      <c r="F66" s="330">
        <f t="shared" si="7"/>
        <v>0</v>
      </c>
      <c r="G66" s="332">
        <v>0</v>
      </c>
      <c r="H66" s="332">
        <v>0</v>
      </c>
      <c r="I66" s="332">
        <v>0</v>
      </c>
      <c r="J66" s="332">
        <v>0</v>
      </c>
      <c r="K66" s="10"/>
      <c r="L66" s="10"/>
      <c r="M66" s="10"/>
      <c r="N66" s="57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40.5" customHeight="1" x14ac:dyDescent="0.2">
      <c r="A67" s="293" t="s">
        <v>516</v>
      </c>
      <c r="B67" s="328" t="s">
        <v>517</v>
      </c>
      <c r="C67" s="332">
        <f>ROUND(SUM(C68:C70),2)</f>
        <v>0</v>
      </c>
      <c r="D67" s="332">
        <f>ROUND(SUM(D68:D70),2)</f>
        <v>0</v>
      </c>
      <c r="E67" s="332">
        <f>ROUND(SUM(E68:E70),2)</f>
        <v>0</v>
      </c>
      <c r="F67" s="330">
        <f t="shared" si="7"/>
        <v>0</v>
      </c>
      <c r="G67" s="332">
        <f>ROUND(SUM(G68:G70),1)</f>
        <v>0</v>
      </c>
      <c r="H67" s="332">
        <f>ROUND(SUM(H68:H70),1)</f>
        <v>0</v>
      </c>
      <c r="I67" s="332">
        <f>ROUND(SUM(I68:I70),1)</f>
        <v>0</v>
      </c>
      <c r="J67" s="332">
        <f>ROUND(SUM(J68:J70),1)</f>
        <v>0</v>
      </c>
      <c r="K67" s="10"/>
      <c r="L67" s="10"/>
      <c r="M67" s="10"/>
      <c r="N67" s="57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24" customHeight="1" x14ac:dyDescent="0.2">
      <c r="A68" s="293" t="s">
        <v>492</v>
      </c>
      <c r="B68" s="328" t="s">
        <v>518</v>
      </c>
      <c r="C68" s="332">
        <v>0</v>
      </c>
      <c r="D68" s="332">
        <v>0</v>
      </c>
      <c r="E68" s="332">
        <v>0</v>
      </c>
      <c r="F68" s="330">
        <f t="shared" si="7"/>
        <v>0</v>
      </c>
      <c r="G68" s="332">
        <v>0</v>
      </c>
      <c r="H68" s="332">
        <v>0</v>
      </c>
      <c r="I68" s="332">
        <v>0</v>
      </c>
      <c r="J68" s="332">
        <v>0</v>
      </c>
      <c r="K68" s="10"/>
      <c r="L68" s="10"/>
      <c r="M68" s="10"/>
      <c r="N68" s="57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24" customHeight="1" x14ac:dyDescent="0.2">
      <c r="A69" s="293" t="s">
        <v>494</v>
      </c>
      <c r="B69" s="328" t="s">
        <v>519</v>
      </c>
      <c r="C69" s="332">
        <v>0</v>
      </c>
      <c r="D69" s="332">
        <v>0</v>
      </c>
      <c r="E69" s="332">
        <v>0</v>
      </c>
      <c r="F69" s="330">
        <f t="shared" si="7"/>
        <v>0</v>
      </c>
      <c r="G69" s="332">
        <v>0</v>
      </c>
      <c r="H69" s="332">
        <v>0</v>
      </c>
      <c r="I69" s="332">
        <v>0</v>
      </c>
      <c r="J69" s="332">
        <v>0</v>
      </c>
      <c r="K69" s="10"/>
      <c r="L69" s="10"/>
      <c r="M69" s="10"/>
      <c r="N69" s="57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24" customHeight="1" x14ac:dyDescent="0.2">
      <c r="A70" s="293" t="s">
        <v>496</v>
      </c>
      <c r="B70" s="328" t="s">
        <v>520</v>
      </c>
      <c r="C70" s="332">
        <v>0</v>
      </c>
      <c r="D70" s="332">
        <v>0</v>
      </c>
      <c r="E70" s="332">
        <v>0</v>
      </c>
      <c r="F70" s="330">
        <f t="shared" si="7"/>
        <v>0</v>
      </c>
      <c r="G70" s="332">
        <v>0</v>
      </c>
      <c r="H70" s="332">
        <v>0</v>
      </c>
      <c r="I70" s="332">
        <v>0</v>
      </c>
      <c r="J70" s="332">
        <v>0</v>
      </c>
      <c r="K70" s="10"/>
      <c r="L70" s="10"/>
      <c r="M70" s="10"/>
      <c r="N70" s="57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24" customHeight="1" x14ac:dyDescent="0.2">
      <c r="A71" s="293" t="s">
        <v>521</v>
      </c>
      <c r="B71" s="328" t="s">
        <v>522</v>
      </c>
      <c r="C71" s="332">
        <v>19553.8</v>
      </c>
      <c r="D71" s="332">
        <v>0</v>
      </c>
      <c r="E71" s="332">
        <v>0</v>
      </c>
      <c r="F71" s="362">
        <f>G71+H71+I71+J71</f>
        <v>0</v>
      </c>
      <c r="G71" s="332">
        <f>G60</f>
        <v>0</v>
      </c>
      <c r="H71" s="332">
        <f>H60</f>
        <v>0</v>
      </c>
      <c r="I71" s="332">
        <f>I60</f>
        <v>0</v>
      </c>
      <c r="J71" s="332">
        <f>J60</f>
        <v>0</v>
      </c>
      <c r="K71" s="10"/>
      <c r="L71" s="10"/>
      <c r="M71" s="10"/>
      <c r="N71" s="57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34.5" customHeight="1" x14ac:dyDescent="0.2">
      <c r="A72" s="303" t="s">
        <v>523</v>
      </c>
      <c r="B72" s="326" t="s">
        <v>524</v>
      </c>
      <c r="C72" s="363">
        <f>ROUND(C49-C61,1)</f>
        <v>19553.8</v>
      </c>
      <c r="D72" s="364">
        <f>ROUND(D49-D61,2)</f>
        <v>0</v>
      </c>
      <c r="E72" s="364">
        <f>ROUND(E49-E61,2)</f>
        <v>0</v>
      </c>
      <c r="F72" s="365">
        <f t="shared" ref="F72:J72" si="8">ROUND(F49-F61,1)</f>
        <v>0</v>
      </c>
      <c r="G72" s="365">
        <f t="shared" si="8"/>
        <v>0</v>
      </c>
      <c r="H72" s="364">
        <f t="shared" si="8"/>
        <v>0</v>
      </c>
      <c r="I72" s="364">
        <f t="shared" si="8"/>
        <v>0</v>
      </c>
      <c r="J72" s="364">
        <f t="shared" si="8"/>
        <v>0</v>
      </c>
      <c r="K72" s="10"/>
      <c r="L72" s="10"/>
      <c r="M72" s="10"/>
      <c r="N72" s="57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27" customHeight="1" x14ac:dyDescent="0.2">
      <c r="A73" s="293" t="s">
        <v>525</v>
      </c>
      <c r="B73" s="328" t="s">
        <v>526</v>
      </c>
      <c r="C73" s="332">
        <v>0</v>
      </c>
      <c r="D73" s="332">
        <v>0</v>
      </c>
      <c r="E73" s="332">
        <v>0</v>
      </c>
      <c r="F73" s="330">
        <f>ROUND(SUM(G73:J73),1)</f>
        <v>0</v>
      </c>
      <c r="G73" s="332">
        <v>0</v>
      </c>
      <c r="H73" s="332">
        <v>0</v>
      </c>
      <c r="I73" s="332">
        <v>0</v>
      </c>
      <c r="J73" s="332">
        <v>0</v>
      </c>
      <c r="K73" s="10"/>
      <c r="L73" s="10"/>
      <c r="M73" s="10"/>
      <c r="N73" s="57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9.5" customHeight="1" x14ac:dyDescent="0.2">
      <c r="A74" s="303" t="s">
        <v>527</v>
      </c>
      <c r="B74" s="326" t="s">
        <v>528</v>
      </c>
      <c r="C74" s="327">
        <v>1024.7</v>
      </c>
      <c r="D74" s="327">
        <v>504.3</v>
      </c>
      <c r="E74" s="327">
        <v>504.3</v>
      </c>
      <c r="F74" s="366">
        <v>1637.9</v>
      </c>
      <c r="G74" s="366">
        <f>F74</f>
        <v>1637.9</v>
      </c>
      <c r="H74" s="366">
        <f>G76</f>
        <v>1378.5</v>
      </c>
      <c r="I74" s="366">
        <f>H76</f>
        <v>1210.4000000000001</v>
      </c>
      <c r="J74" s="366">
        <f>I76</f>
        <v>1066.7</v>
      </c>
      <c r="K74" s="10"/>
      <c r="L74" s="10"/>
      <c r="M74" s="10"/>
      <c r="N74" s="57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37.5" customHeight="1" x14ac:dyDescent="0.2">
      <c r="A75" s="293" t="s">
        <v>529</v>
      </c>
      <c r="B75" s="328" t="s">
        <v>530</v>
      </c>
      <c r="C75" s="332">
        <v>0</v>
      </c>
      <c r="D75" s="332">
        <v>0</v>
      </c>
      <c r="E75" s="332">
        <v>0</v>
      </c>
      <c r="F75" s="367">
        <v>0</v>
      </c>
      <c r="G75" s="368">
        <v>0</v>
      </c>
      <c r="H75" s="368">
        <v>0</v>
      </c>
      <c r="I75" s="368">
        <v>0</v>
      </c>
      <c r="J75" s="368">
        <v>0</v>
      </c>
      <c r="K75" s="10"/>
      <c r="L75" s="10"/>
      <c r="M75" s="10"/>
      <c r="N75" s="57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24.75" customHeight="1" x14ac:dyDescent="0.2">
      <c r="A76" s="303" t="s">
        <v>531</v>
      </c>
      <c r="B76" s="326" t="s">
        <v>532</v>
      </c>
      <c r="C76" s="327">
        <f>C74+C77</f>
        <v>1582.3000000000002</v>
      </c>
      <c r="D76" s="327">
        <f>D74+D77</f>
        <v>132.30000000000001</v>
      </c>
      <c r="E76" s="327">
        <f t="shared" ref="E76:J76" si="9">E74+E77</f>
        <v>95.600000000000023</v>
      </c>
      <c r="F76" s="369">
        <f t="shared" si="9"/>
        <v>882.50000000000011</v>
      </c>
      <c r="G76" s="369">
        <f t="shared" si="9"/>
        <v>1378.5</v>
      </c>
      <c r="H76" s="369">
        <f t="shared" si="9"/>
        <v>1210.4000000000001</v>
      </c>
      <c r="I76" s="369">
        <f t="shared" si="9"/>
        <v>1066.7</v>
      </c>
      <c r="J76" s="369">
        <f t="shared" si="9"/>
        <v>882.5</v>
      </c>
      <c r="K76" s="10"/>
      <c r="L76" s="10"/>
      <c r="M76" s="10"/>
      <c r="N76" s="57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24" customHeight="1" x14ac:dyDescent="0.2">
      <c r="A77" s="303" t="s">
        <v>67</v>
      </c>
      <c r="B77" s="326" t="s">
        <v>533</v>
      </c>
      <c r="C77" s="363">
        <v>557.6</v>
      </c>
      <c r="D77" s="363">
        <v>-372</v>
      </c>
      <c r="E77" s="363">
        <f>E27</f>
        <v>-408.7</v>
      </c>
      <c r="F77" s="701">
        <f t="shared" ref="F77:J77" si="10">ROUND(F27+F47+F72,1)</f>
        <v>-755.4</v>
      </c>
      <c r="G77" s="701">
        <f t="shared" si="10"/>
        <v>-259.39999999999998</v>
      </c>
      <c r="H77" s="701">
        <f t="shared" si="10"/>
        <v>-168.1</v>
      </c>
      <c r="I77" s="701">
        <f t="shared" si="10"/>
        <v>-143.69999999999999</v>
      </c>
      <c r="J77" s="701">
        <f t="shared" si="10"/>
        <v>-184.2</v>
      </c>
      <c r="K77" s="10"/>
      <c r="L77" s="10"/>
      <c r="M77" s="10"/>
      <c r="N77" s="370"/>
      <c r="O77" s="371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24.75" customHeight="1" x14ac:dyDescent="0.3">
      <c r="A78" s="173"/>
      <c r="B78" s="13"/>
      <c r="C78" s="372"/>
      <c r="D78" s="372"/>
      <c r="E78" s="373"/>
      <c r="F78" s="373"/>
      <c r="G78" s="374"/>
      <c r="H78" s="375"/>
      <c r="I78" s="376"/>
      <c r="J78" s="377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spans="1:26" ht="15.75" customHeight="1" x14ac:dyDescent="0.3">
      <c r="A79" s="64" t="s">
        <v>85</v>
      </c>
      <c r="B79" s="320"/>
      <c r="C79" s="378"/>
      <c r="D79" s="378"/>
      <c r="E79" s="378"/>
      <c r="F79" s="379"/>
      <c r="G79" s="379"/>
      <c r="H79" s="379" t="s">
        <v>86</v>
      </c>
      <c r="I79" s="379"/>
      <c r="J79" s="38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 x14ac:dyDescent="0.2"/>
    <row r="81" ht="15.75" customHeight="1" x14ac:dyDescent="0.2"/>
    <row r="82" ht="4.5" customHeight="1" x14ac:dyDescent="0.2"/>
    <row r="83" ht="12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  <row r="123" ht="18.75" customHeight="1" x14ac:dyDescent="0.2"/>
    <row r="124" ht="18.75" customHeight="1" x14ac:dyDescent="0.2"/>
    <row r="125" ht="18.75" customHeight="1" x14ac:dyDescent="0.2"/>
    <row r="126" ht="18.75" customHeight="1" x14ac:dyDescent="0.2"/>
    <row r="127" ht="18.75" customHeight="1" x14ac:dyDescent="0.2"/>
    <row r="128" ht="18.75" customHeight="1" x14ac:dyDescent="0.2"/>
    <row r="129" ht="18.75" customHeight="1" x14ac:dyDescent="0.2"/>
    <row r="130" ht="18.75" customHeight="1" x14ac:dyDescent="0.2"/>
    <row r="131" ht="18.75" customHeight="1" x14ac:dyDescent="0.2"/>
    <row r="132" ht="18.75" customHeight="1" x14ac:dyDescent="0.2"/>
    <row r="133" ht="18.75" customHeight="1" x14ac:dyDescent="0.2"/>
    <row r="134" ht="18.75" customHeight="1" x14ac:dyDescent="0.2"/>
    <row r="135" ht="18.75" customHeight="1" x14ac:dyDescent="0.2"/>
    <row r="136" ht="18.75" customHeight="1" x14ac:dyDescent="0.2"/>
    <row r="137" ht="18.75" customHeight="1" x14ac:dyDescent="0.2"/>
    <row r="138" ht="18.75" customHeight="1" x14ac:dyDescent="0.2"/>
    <row r="139" ht="18.75" customHeight="1" x14ac:dyDescent="0.2"/>
    <row r="140" ht="18.75" customHeight="1" x14ac:dyDescent="0.2"/>
    <row r="141" ht="18.75" customHeight="1" x14ac:dyDescent="0.2"/>
    <row r="142" ht="18.75" customHeight="1" x14ac:dyDescent="0.2"/>
    <row r="143" ht="18.75" customHeight="1" x14ac:dyDescent="0.2"/>
    <row r="144" ht="18.75" customHeight="1" x14ac:dyDescent="0.2"/>
    <row r="145" ht="18.75" customHeight="1" x14ac:dyDescent="0.2"/>
    <row r="146" ht="18.75" customHeight="1" x14ac:dyDescent="0.2"/>
    <row r="147" ht="18.75" customHeight="1" x14ac:dyDescent="0.2"/>
    <row r="148" ht="18.75" customHeight="1" x14ac:dyDescent="0.2"/>
    <row r="149" ht="18.75" customHeight="1" x14ac:dyDescent="0.2"/>
    <row r="150" ht="18.75" customHeight="1" x14ac:dyDescent="0.2"/>
    <row r="151" ht="18.75" customHeight="1" x14ac:dyDescent="0.2"/>
    <row r="152" ht="18.75" customHeight="1" x14ac:dyDescent="0.2"/>
    <row r="153" ht="18.75" customHeight="1" x14ac:dyDescent="0.2"/>
    <row r="154" ht="18.75" customHeight="1" x14ac:dyDescent="0.2"/>
    <row r="155" ht="18.75" customHeight="1" x14ac:dyDescent="0.2"/>
    <row r="156" ht="18.75" customHeight="1" x14ac:dyDescent="0.2"/>
    <row r="157" ht="18.75" customHeight="1" x14ac:dyDescent="0.2"/>
    <row r="158" ht="18.75" customHeight="1" x14ac:dyDescent="0.2"/>
    <row r="159" ht="18.75" customHeight="1" x14ac:dyDescent="0.2"/>
    <row r="160" ht="18.75" customHeight="1" x14ac:dyDescent="0.2"/>
    <row r="161" ht="18.75" customHeight="1" x14ac:dyDescent="0.2"/>
    <row r="162" ht="18.75" customHeight="1" x14ac:dyDescent="0.2"/>
    <row r="163" ht="18.75" customHeight="1" x14ac:dyDescent="0.2"/>
    <row r="164" ht="18.75" customHeight="1" x14ac:dyDescent="0.2"/>
    <row r="165" ht="18.75" customHeight="1" x14ac:dyDescent="0.2"/>
    <row r="166" ht="18.75" customHeight="1" x14ac:dyDescent="0.2"/>
    <row r="167" ht="18.75" customHeight="1" x14ac:dyDescent="0.2"/>
    <row r="168" ht="18.75" customHeight="1" x14ac:dyDescent="0.2"/>
    <row r="169" ht="18.75" customHeight="1" x14ac:dyDescent="0.2"/>
    <row r="170" ht="18.75" customHeight="1" x14ac:dyDescent="0.2"/>
    <row r="171" ht="18.75" customHeight="1" x14ac:dyDescent="0.2"/>
    <row r="172" ht="18.75" customHeight="1" x14ac:dyDescent="0.2"/>
    <row r="173" ht="18.75" customHeight="1" x14ac:dyDescent="0.2"/>
    <row r="174" ht="18.75" customHeight="1" x14ac:dyDescent="0.2"/>
    <row r="175" ht="18.75" customHeight="1" x14ac:dyDescent="0.2"/>
    <row r="176" ht="18.75" customHeight="1" x14ac:dyDescent="0.2"/>
    <row r="177" ht="18.75" customHeight="1" x14ac:dyDescent="0.2"/>
    <row r="178" ht="18.75" customHeight="1" x14ac:dyDescent="0.2"/>
    <row r="179" ht="18.75" customHeight="1" x14ac:dyDescent="0.2"/>
    <row r="180" ht="18.75" customHeight="1" x14ac:dyDescent="0.2"/>
    <row r="181" ht="18.75" customHeight="1" x14ac:dyDescent="0.2"/>
    <row r="182" ht="18.75" customHeight="1" x14ac:dyDescent="0.2"/>
    <row r="183" ht="18.75" customHeight="1" x14ac:dyDescent="0.2"/>
    <row r="184" ht="18.75" customHeight="1" x14ac:dyDescent="0.2"/>
    <row r="185" ht="18.75" customHeight="1" x14ac:dyDescent="0.2"/>
    <row r="186" ht="18.75" customHeight="1" x14ac:dyDescent="0.2"/>
    <row r="187" ht="18.75" customHeight="1" x14ac:dyDescent="0.2"/>
    <row r="188" ht="18.75" customHeight="1" x14ac:dyDescent="0.2"/>
    <row r="189" ht="18.75" customHeight="1" x14ac:dyDescent="0.2"/>
    <row r="190" ht="18.75" customHeight="1" x14ac:dyDescent="0.2"/>
    <row r="191" ht="18.75" customHeight="1" x14ac:dyDescent="0.2"/>
    <row r="192" ht="18.75" customHeight="1" x14ac:dyDescent="0.2"/>
    <row r="193" ht="18.75" customHeight="1" x14ac:dyDescent="0.2"/>
    <row r="194" ht="18.75" customHeight="1" x14ac:dyDescent="0.2"/>
    <row r="195" ht="18.75" customHeight="1" x14ac:dyDescent="0.2"/>
    <row r="196" ht="18.75" customHeight="1" x14ac:dyDescent="0.2"/>
    <row r="197" ht="18.75" customHeight="1" x14ac:dyDescent="0.2"/>
    <row r="198" ht="18.75" customHeight="1" x14ac:dyDescent="0.2"/>
    <row r="199" ht="18.75" customHeight="1" x14ac:dyDescent="0.2"/>
    <row r="200" ht="18.75" customHeight="1" x14ac:dyDescent="0.2"/>
    <row r="201" ht="18.75" customHeight="1" x14ac:dyDescent="0.2"/>
    <row r="202" ht="18.75" customHeight="1" x14ac:dyDescent="0.2"/>
    <row r="203" ht="18.75" customHeight="1" x14ac:dyDescent="0.2"/>
    <row r="204" ht="18.75" customHeight="1" x14ac:dyDescent="0.2"/>
    <row r="205" ht="18.75" customHeight="1" x14ac:dyDescent="0.2"/>
    <row r="206" ht="18.75" customHeight="1" x14ac:dyDescent="0.2"/>
    <row r="207" ht="18.75" customHeight="1" x14ac:dyDescent="0.2"/>
    <row r="208" ht="18.75" customHeight="1" x14ac:dyDescent="0.2"/>
    <row r="209" ht="18.75" customHeight="1" x14ac:dyDescent="0.2"/>
    <row r="210" ht="18.75" customHeight="1" x14ac:dyDescent="0.2"/>
    <row r="211" ht="18.75" customHeight="1" x14ac:dyDescent="0.2"/>
    <row r="212" ht="18.75" customHeight="1" x14ac:dyDescent="0.2"/>
    <row r="213" ht="18.75" customHeight="1" x14ac:dyDescent="0.2"/>
    <row r="214" ht="18.75" customHeight="1" x14ac:dyDescent="0.2"/>
    <row r="215" ht="18.75" customHeight="1" x14ac:dyDescent="0.2"/>
    <row r="216" ht="18.75" customHeight="1" x14ac:dyDescent="0.2"/>
    <row r="217" ht="18.75" customHeight="1" x14ac:dyDescent="0.2"/>
    <row r="218" ht="18.75" customHeight="1" x14ac:dyDescent="0.2"/>
    <row r="219" ht="18.75" customHeight="1" x14ac:dyDescent="0.2"/>
    <row r="220" ht="18.75" customHeight="1" x14ac:dyDescent="0.2"/>
    <row r="221" ht="18.75" customHeight="1" x14ac:dyDescent="0.2"/>
    <row r="222" ht="18.75" customHeight="1" x14ac:dyDescent="0.2"/>
    <row r="223" ht="18.75" customHeight="1" x14ac:dyDescent="0.2"/>
    <row r="224" ht="18.75" customHeight="1" x14ac:dyDescent="0.2"/>
    <row r="225" ht="18.75" customHeight="1" x14ac:dyDescent="0.2"/>
    <row r="226" ht="18.75" customHeight="1" x14ac:dyDescent="0.2"/>
    <row r="227" ht="18.75" customHeight="1" x14ac:dyDescent="0.2"/>
    <row r="228" ht="18.75" customHeight="1" x14ac:dyDescent="0.2"/>
    <row r="229" ht="18.75" customHeight="1" x14ac:dyDescent="0.2"/>
    <row r="230" ht="18.75" customHeight="1" x14ac:dyDescent="0.2"/>
    <row r="231" ht="18.75" customHeight="1" x14ac:dyDescent="0.2"/>
    <row r="232" ht="18.75" customHeight="1" x14ac:dyDescent="0.2"/>
    <row r="233" ht="18.75" customHeight="1" x14ac:dyDescent="0.2"/>
    <row r="234" ht="18.75" customHeight="1" x14ac:dyDescent="0.2"/>
    <row r="235" ht="18.75" customHeight="1" x14ac:dyDescent="0.2"/>
    <row r="236" ht="18.75" customHeight="1" x14ac:dyDescent="0.2"/>
    <row r="237" ht="18.75" customHeight="1" x14ac:dyDescent="0.2"/>
    <row r="238" ht="18.75" customHeight="1" x14ac:dyDescent="0.2"/>
    <row r="239" ht="18.75" customHeight="1" x14ac:dyDescent="0.2"/>
    <row r="240" ht="18.75" customHeight="1" x14ac:dyDescent="0.2"/>
    <row r="241" ht="18.75" customHeight="1" x14ac:dyDescent="0.2"/>
    <row r="242" ht="18.75" customHeight="1" x14ac:dyDescent="0.2"/>
    <row r="243" ht="18.75" customHeight="1" x14ac:dyDescent="0.2"/>
    <row r="244" ht="18.75" customHeight="1" x14ac:dyDescent="0.2"/>
    <row r="245" ht="18.75" customHeight="1" x14ac:dyDescent="0.2"/>
    <row r="246" ht="18.75" customHeight="1" x14ac:dyDescent="0.2"/>
    <row r="247" ht="18.75" customHeight="1" x14ac:dyDescent="0.2"/>
    <row r="248" ht="18.75" customHeight="1" x14ac:dyDescent="0.2"/>
    <row r="249" ht="18.75" customHeight="1" x14ac:dyDescent="0.2"/>
    <row r="250" ht="18.75" customHeight="1" x14ac:dyDescent="0.2"/>
    <row r="251" ht="18.75" customHeight="1" x14ac:dyDescent="0.2"/>
    <row r="252" ht="18.75" customHeight="1" x14ac:dyDescent="0.2"/>
    <row r="253" ht="18.75" customHeight="1" x14ac:dyDescent="0.2"/>
    <row r="254" ht="18.75" customHeight="1" x14ac:dyDescent="0.2"/>
    <row r="255" ht="18.75" customHeight="1" x14ac:dyDescent="0.2"/>
    <row r="256" ht="18.75" customHeight="1" x14ac:dyDescent="0.2"/>
    <row r="257" ht="18.75" customHeight="1" x14ac:dyDescent="0.2"/>
    <row r="258" ht="18.75" customHeight="1" x14ac:dyDescent="0.2"/>
    <row r="259" ht="18.75" customHeight="1" x14ac:dyDescent="0.2"/>
    <row r="260" ht="18.75" customHeight="1" x14ac:dyDescent="0.2"/>
    <row r="261" ht="18.75" customHeight="1" x14ac:dyDescent="0.2"/>
    <row r="262" ht="18.75" customHeight="1" x14ac:dyDescent="0.2"/>
    <row r="263" ht="18.75" customHeight="1" x14ac:dyDescent="0.2"/>
    <row r="264" ht="18.75" customHeight="1" x14ac:dyDescent="0.2"/>
    <row r="265" ht="18.75" customHeight="1" x14ac:dyDescent="0.2"/>
    <row r="266" ht="18.75" customHeight="1" x14ac:dyDescent="0.2"/>
    <row r="267" ht="18.75" customHeight="1" x14ac:dyDescent="0.2"/>
    <row r="268" ht="18.75" customHeight="1" x14ac:dyDescent="0.2"/>
    <row r="269" ht="18.75" customHeight="1" x14ac:dyDescent="0.2"/>
    <row r="270" ht="18.75" customHeight="1" x14ac:dyDescent="0.2"/>
    <row r="271" ht="18.75" customHeight="1" x14ac:dyDescent="0.2"/>
    <row r="272" ht="18.75" customHeight="1" x14ac:dyDescent="0.2"/>
    <row r="273" ht="18.75" customHeight="1" x14ac:dyDescent="0.2"/>
    <row r="274" ht="18.75" customHeight="1" x14ac:dyDescent="0.2"/>
    <row r="275" ht="18.75" customHeight="1" x14ac:dyDescent="0.2"/>
    <row r="276" ht="18.75" customHeight="1" x14ac:dyDescent="0.2"/>
    <row r="277" ht="18.75" customHeight="1" x14ac:dyDescent="0.2"/>
    <row r="278" ht="18.75" customHeight="1" x14ac:dyDescent="0.2"/>
    <row r="279" ht="18.75" customHeight="1" x14ac:dyDescent="0.2"/>
    <row r="280" ht="18.75" customHeight="1" x14ac:dyDescent="0.2"/>
    <row r="281" ht="18.75" customHeight="1" x14ac:dyDescent="0.2"/>
    <row r="282" ht="18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</sheetData>
  <mergeCells count="10">
    <mergeCell ref="A4:J4"/>
    <mergeCell ref="A28:J28"/>
    <mergeCell ref="A1:J1"/>
    <mergeCell ref="A2:A3"/>
    <mergeCell ref="B2:B3"/>
    <mergeCell ref="C2:C3"/>
    <mergeCell ref="D2:D3"/>
    <mergeCell ref="E2:E3"/>
    <mergeCell ref="F2:F3"/>
    <mergeCell ref="G2:J2"/>
  </mergeCells>
  <printOptions horizontalCentered="1"/>
  <pageMargins left="0.9055118110236221" right="0.19685039370078741" top="0.55118110236220474" bottom="0.55118110236220474" header="0.11811023622047245" footer="0.11811023622047245"/>
  <pageSetup paperSize="9" scale="45" firstPageNumber="0" fitToHeight="0" pageOrder="overThenDown" orientation="portrait" horizontalDpi="300" verticalDpi="300" r:id="rId1"/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99"/>
    <pageSetUpPr fitToPage="1"/>
  </sheetPr>
  <dimension ref="A1:Z992"/>
  <sheetViews>
    <sheetView view="pageBreakPreview" zoomScaleNormal="87" workbookViewId="0">
      <selection activeCell="A13" sqref="A13:J13"/>
    </sheetView>
  </sheetViews>
  <sheetFormatPr defaultRowHeight="12.75" x14ac:dyDescent="0.2"/>
  <cols>
    <col min="1" max="1" width="37.85546875" customWidth="1"/>
    <col min="2" max="2" width="8.85546875" customWidth="1"/>
    <col min="3" max="3" width="13" customWidth="1"/>
    <col min="4" max="4" width="15.85546875" customWidth="1"/>
    <col min="5" max="5" width="13.7109375" customWidth="1"/>
    <col min="6" max="6" width="13.28515625" customWidth="1"/>
    <col min="7" max="7" width="12" customWidth="1"/>
    <col min="8" max="8" width="10" customWidth="1"/>
    <col min="9" max="9" width="9.85546875" customWidth="1"/>
    <col min="10" max="10" width="10.140625" customWidth="1"/>
    <col min="11" max="11" width="9.140625" customWidth="1"/>
    <col min="12" max="12" width="9.42578125" customWidth="1"/>
    <col min="13" max="20" width="8.85546875" customWidth="1"/>
    <col min="21" max="26" width="7.7109375" customWidth="1"/>
    <col min="27" max="1025" width="12.140625" customWidth="1"/>
  </cols>
  <sheetData>
    <row r="1" spans="1:26" ht="60" customHeight="1" x14ac:dyDescent="0.2">
      <c r="A1" s="825" t="s">
        <v>534</v>
      </c>
      <c r="B1" s="825"/>
      <c r="C1" s="825"/>
      <c r="D1" s="825"/>
      <c r="E1" s="825"/>
      <c r="F1" s="825"/>
      <c r="G1" s="825"/>
      <c r="H1" s="825"/>
      <c r="I1" s="825"/>
      <c r="J1" s="825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</row>
    <row r="2" spans="1:26" ht="43.5" customHeight="1" x14ac:dyDescent="0.2">
      <c r="A2" s="826" t="s">
        <v>36</v>
      </c>
      <c r="B2" s="826" t="s">
        <v>37</v>
      </c>
      <c r="C2" s="826" t="s">
        <v>38</v>
      </c>
      <c r="D2" s="826" t="s">
        <v>39</v>
      </c>
      <c r="E2" s="826" t="s">
        <v>40</v>
      </c>
      <c r="F2" s="826" t="s">
        <v>88</v>
      </c>
      <c r="G2" s="826" t="s">
        <v>89</v>
      </c>
      <c r="H2" s="826"/>
      <c r="I2" s="826"/>
      <c r="J2" s="826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</row>
    <row r="3" spans="1:26" ht="69" customHeight="1" x14ac:dyDescent="0.2">
      <c r="A3" s="826"/>
      <c r="B3" s="826"/>
      <c r="C3" s="826"/>
      <c r="D3" s="826"/>
      <c r="E3" s="826"/>
      <c r="F3" s="826"/>
      <c r="G3" s="381" t="s">
        <v>343</v>
      </c>
      <c r="H3" s="381" t="s">
        <v>344</v>
      </c>
      <c r="I3" s="381" t="s">
        <v>345</v>
      </c>
      <c r="J3" s="381" t="s">
        <v>346</v>
      </c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</row>
    <row r="4" spans="1:26" ht="18" customHeight="1" x14ac:dyDescent="0.2">
      <c r="A4" s="381">
        <v>1</v>
      </c>
      <c r="B4" s="381">
        <v>2</v>
      </c>
      <c r="C4" s="381">
        <v>3</v>
      </c>
      <c r="D4" s="381">
        <v>4</v>
      </c>
      <c r="E4" s="381">
        <v>5</v>
      </c>
      <c r="F4" s="381">
        <v>6</v>
      </c>
      <c r="G4" s="381">
        <v>7</v>
      </c>
      <c r="H4" s="381">
        <v>8</v>
      </c>
      <c r="I4" s="381">
        <v>9</v>
      </c>
      <c r="J4" s="381">
        <v>10</v>
      </c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</row>
    <row r="5" spans="1:26" ht="66.2" customHeight="1" x14ac:dyDescent="0.2">
      <c r="A5" s="382" t="s">
        <v>535</v>
      </c>
      <c r="B5" s="381">
        <v>4000</v>
      </c>
      <c r="C5" s="383">
        <v>0</v>
      </c>
      <c r="D5" s="384">
        <v>0</v>
      </c>
      <c r="E5" s="384">
        <v>0</v>
      </c>
      <c r="F5" s="383">
        <f>G5+H5+I5+J5</f>
        <v>0</v>
      </c>
      <c r="G5" s="383"/>
      <c r="H5" s="385"/>
      <c r="I5" s="385">
        <f>ROUND(SUM(I7,I6,I9,I11,I12),2)</f>
        <v>0</v>
      </c>
      <c r="J5" s="385">
        <f>ROUND(SUM(J7,J6,J9,J11,J12),2)</f>
        <v>0</v>
      </c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</row>
    <row r="6" spans="1:26" ht="57.6" customHeight="1" x14ac:dyDescent="0.2">
      <c r="A6" s="382" t="s">
        <v>536</v>
      </c>
      <c r="B6" s="381" t="s">
        <v>537</v>
      </c>
      <c r="C6" s="384">
        <v>0</v>
      </c>
      <c r="D6" s="384">
        <v>0</v>
      </c>
      <c r="E6" s="384">
        <v>0</v>
      </c>
      <c r="F6" s="386">
        <f t="shared" ref="F6:F12" si="0">ROUND(SUM(G6:J6),2)</f>
        <v>0</v>
      </c>
      <c r="G6" s="386">
        <v>0</v>
      </c>
      <c r="H6" s="386">
        <v>0</v>
      </c>
      <c r="I6" s="386">
        <v>0</v>
      </c>
      <c r="J6" s="386">
        <v>0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</row>
    <row r="7" spans="1:26" ht="69" customHeight="1" x14ac:dyDescent="0.2">
      <c r="A7" s="382" t="s">
        <v>538</v>
      </c>
      <c r="B7" s="381">
        <v>4020</v>
      </c>
      <c r="C7" s="384">
        <v>0</v>
      </c>
      <c r="D7" s="385">
        <v>0</v>
      </c>
      <c r="E7" s="385">
        <v>0</v>
      </c>
      <c r="F7" s="386">
        <f t="shared" si="0"/>
        <v>0</v>
      </c>
      <c r="G7" s="385">
        <f>ROUND(SUM(G8),2)</f>
        <v>0</v>
      </c>
      <c r="H7" s="385">
        <f>ROUND(SUM(H8),2)</f>
        <v>0</v>
      </c>
      <c r="I7" s="385">
        <f>ROUND(SUM(I8),2)</f>
        <v>0</v>
      </c>
      <c r="J7" s="385">
        <f>ROUND(SUM(J8),2)</f>
        <v>0</v>
      </c>
      <c r="L7" s="387"/>
      <c r="M7" s="302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</row>
    <row r="8" spans="1:26" ht="45" hidden="1" customHeight="1" x14ac:dyDescent="0.2">
      <c r="A8" s="388" t="s">
        <v>539</v>
      </c>
      <c r="B8" s="389" t="s">
        <v>540</v>
      </c>
      <c r="C8" s="383">
        <v>0</v>
      </c>
      <c r="D8" s="385">
        <v>0</v>
      </c>
      <c r="E8" s="385">
        <v>0</v>
      </c>
      <c r="F8" s="386">
        <f t="shared" si="0"/>
        <v>0</v>
      </c>
      <c r="G8" s="385"/>
      <c r="H8" s="385">
        <v>0</v>
      </c>
      <c r="I8" s="385">
        <v>0</v>
      </c>
      <c r="J8" s="385">
        <v>0</v>
      </c>
      <c r="L8" s="289"/>
      <c r="M8" s="289"/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</row>
    <row r="9" spans="1:26" ht="110.25" customHeight="1" x14ac:dyDescent="0.2">
      <c r="A9" s="382" t="s">
        <v>541</v>
      </c>
      <c r="B9" s="390">
        <v>4030</v>
      </c>
      <c r="C9" s="384">
        <v>0</v>
      </c>
      <c r="D9" s="384">
        <v>0</v>
      </c>
      <c r="E9" s="384">
        <v>0</v>
      </c>
      <c r="F9" s="386">
        <f t="shared" si="0"/>
        <v>0</v>
      </c>
      <c r="G9" s="385"/>
      <c r="H9" s="385">
        <f>ROUND(SUM(H10:H10),2)</f>
        <v>0</v>
      </c>
      <c r="I9" s="385">
        <f>ROUND(SUM(I10:I10),2)</f>
        <v>0</v>
      </c>
      <c r="J9" s="385">
        <f>ROUND(SUM(J10:J10),2)</f>
        <v>0</v>
      </c>
      <c r="K9" s="289"/>
      <c r="L9" s="289"/>
      <c r="M9" s="289"/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</row>
    <row r="10" spans="1:26" ht="93" hidden="1" x14ac:dyDescent="0.35">
      <c r="A10" s="391" t="s">
        <v>542</v>
      </c>
      <c r="B10" s="392" t="s">
        <v>543</v>
      </c>
      <c r="C10" s="383">
        <v>0</v>
      </c>
      <c r="D10" s="385">
        <v>0</v>
      </c>
      <c r="E10" s="385">
        <v>0</v>
      </c>
      <c r="F10" s="386">
        <f t="shared" si="0"/>
        <v>0</v>
      </c>
      <c r="G10" s="385"/>
      <c r="H10" s="385">
        <v>0</v>
      </c>
      <c r="I10" s="385">
        <v>0</v>
      </c>
      <c r="J10" s="385">
        <v>0</v>
      </c>
      <c r="K10" s="289"/>
      <c r="L10" s="289"/>
      <c r="M10" s="289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</row>
    <row r="11" spans="1:26" ht="77.45" customHeight="1" x14ac:dyDescent="0.2">
      <c r="A11" s="382" t="s">
        <v>544</v>
      </c>
      <c r="B11" s="381">
        <v>4040</v>
      </c>
      <c r="C11" s="393">
        <v>0</v>
      </c>
      <c r="D11" s="385">
        <v>0</v>
      </c>
      <c r="E11" s="385">
        <v>0</v>
      </c>
      <c r="F11" s="386">
        <f t="shared" si="0"/>
        <v>0</v>
      </c>
      <c r="G11" s="385">
        <f t="shared" ref="G11:J12" si="1">ROUND(SUM(G12),2)</f>
        <v>0</v>
      </c>
      <c r="H11" s="385">
        <f t="shared" si="1"/>
        <v>0</v>
      </c>
      <c r="I11" s="385">
        <f t="shared" si="1"/>
        <v>0</v>
      </c>
      <c r="J11" s="385">
        <f t="shared" si="1"/>
        <v>0</v>
      </c>
      <c r="K11" s="289"/>
      <c r="L11" s="289"/>
      <c r="M11" s="289"/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</row>
    <row r="12" spans="1:26" ht="111.75" customHeight="1" x14ac:dyDescent="0.2">
      <c r="A12" s="382" t="s">
        <v>545</v>
      </c>
      <c r="B12" s="381">
        <v>4050</v>
      </c>
      <c r="C12" s="384">
        <v>0</v>
      </c>
      <c r="D12" s="384">
        <v>0</v>
      </c>
      <c r="E12" s="384">
        <v>0</v>
      </c>
      <c r="F12" s="386">
        <f t="shared" si="0"/>
        <v>0</v>
      </c>
      <c r="G12" s="385">
        <f t="shared" si="1"/>
        <v>0</v>
      </c>
      <c r="H12" s="385">
        <f t="shared" si="1"/>
        <v>0</v>
      </c>
      <c r="I12" s="385">
        <f t="shared" si="1"/>
        <v>0</v>
      </c>
      <c r="J12" s="385">
        <f t="shared" si="1"/>
        <v>0</v>
      </c>
      <c r="K12" s="289"/>
      <c r="L12" s="289"/>
      <c r="M12" s="289"/>
      <c r="N12" s="289"/>
      <c r="O12" s="289"/>
      <c r="P12" s="289"/>
      <c r="Q12" s="289"/>
      <c r="R12" s="289"/>
      <c r="S12" s="289"/>
      <c r="T12" s="289"/>
      <c r="U12" s="289"/>
      <c r="V12" s="289"/>
      <c r="W12" s="289"/>
      <c r="X12" s="289"/>
      <c r="Y12" s="289"/>
      <c r="Z12" s="289"/>
    </row>
    <row r="13" spans="1:26" ht="63.75" customHeight="1" x14ac:dyDescent="0.2">
      <c r="A13" s="823" t="s">
        <v>546</v>
      </c>
      <c r="B13" s="823"/>
      <c r="C13" s="823"/>
      <c r="D13" s="823"/>
      <c r="E13" s="823"/>
      <c r="F13" s="823"/>
      <c r="G13" s="823"/>
      <c r="H13" s="823"/>
      <c r="I13" s="823"/>
      <c r="J13" s="823"/>
      <c r="K13" s="289"/>
      <c r="L13" s="289"/>
      <c r="M13" s="289"/>
      <c r="N13" s="289"/>
      <c r="O13" s="289"/>
      <c r="P13" s="289"/>
      <c r="Q13" s="289"/>
      <c r="R13" s="289"/>
      <c r="S13" s="289"/>
      <c r="T13" s="289"/>
      <c r="U13" s="289"/>
      <c r="V13" s="289"/>
      <c r="W13" s="289"/>
      <c r="X13" s="289"/>
      <c r="Y13" s="289"/>
      <c r="Z13" s="289"/>
    </row>
    <row r="14" spans="1:26" ht="19.5" customHeight="1" x14ac:dyDescent="0.2">
      <c r="A14" s="394"/>
      <c r="B14" s="395"/>
      <c r="C14" s="824"/>
      <c r="D14" s="824"/>
      <c r="E14" s="824"/>
      <c r="F14" s="824"/>
      <c r="G14" s="396"/>
      <c r="H14" s="824"/>
      <c r="I14" s="824"/>
      <c r="J14" s="824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</row>
    <row r="15" spans="1:26" ht="18.75" customHeight="1" x14ac:dyDescent="0.35">
      <c r="A15" s="397" t="s">
        <v>85</v>
      </c>
      <c r="B15" s="398"/>
      <c r="C15" s="399"/>
      <c r="D15" s="399"/>
      <c r="E15" s="399"/>
      <c r="F15" s="398"/>
      <c r="G15" s="398"/>
      <c r="H15" s="398" t="s">
        <v>86</v>
      </c>
      <c r="I15" s="398"/>
      <c r="J15" s="395"/>
      <c r="K15" s="289"/>
      <c r="L15" s="289"/>
      <c r="M15" s="289"/>
      <c r="N15" s="289"/>
      <c r="O15" s="289"/>
      <c r="P15" s="289"/>
      <c r="Q15" s="289"/>
      <c r="R15" s="289"/>
      <c r="S15" s="289"/>
      <c r="T15" s="289"/>
      <c r="U15" s="289"/>
      <c r="V15" s="289"/>
      <c r="W15" s="289"/>
      <c r="X15" s="289"/>
      <c r="Y15" s="289"/>
      <c r="Z15" s="289"/>
    </row>
    <row r="16" spans="1:26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</sheetData>
  <mergeCells count="11">
    <mergeCell ref="A13:J13"/>
    <mergeCell ref="C14:F14"/>
    <mergeCell ref="H14:J14"/>
    <mergeCell ref="A1:J1"/>
    <mergeCell ref="A2:A3"/>
    <mergeCell ref="B2:B3"/>
    <mergeCell ref="C2:C3"/>
    <mergeCell ref="D2:D3"/>
    <mergeCell ref="E2:E3"/>
    <mergeCell ref="F2:F3"/>
    <mergeCell ref="G2:J2"/>
  </mergeCells>
  <printOptions horizontalCentered="1"/>
  <pageMargins left="0.9055118110236221" right="0.19685039370078741" top="0.55118110236220474" bottom="0.55118110236220474" header="0.11811023622047245" footer="0.11811023622047245"/>
  <pageSetup paperSize="9" scale="64" firstPageNumber="0" fitToHeight="0" pageOrder="overThenDown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99"/>
    <pageSetUpPr fitToPage="1"/>
  </sheetPr>
  <dimension ref="A1:Z1001"/>
  <sheetViews>
    <sheetView view="pageBreakPreview" zoomScaleNormal="93" workbookViewId="0">
      <selection activeCell="F8" sqref="F8"/>
    </sheetView>
  </sheetViews>
  <sheetFormatPr defaultRowHeight="12.75" x14ac:dyDescent="0.2"/>
  <cols>
    <col min="1" max="1" width="40.85546875" customWidth="1"/>
    <col min="2" max="2" width="10.42578125" customWidth="1"/>
    <col min="3" max="3" width="15" customWidth="1"/>
    <col min="4" max="4" width="13.28515625" customWidth="1"/>
    <col min="5" max="5" width="14.42578125" customWidth="1"/>
    <col min="6" max="6" width="13.85546875" customWidth="1"/>
    <col min="7" max="7" width="14.42578125" customWidth="1"/>
    <col min="8" max="8" width="28" customWidth="1"/>
    <col min="9" max="9" width="9.140625" customWidth="1"/>
    <col min="10" max="18" width="8.85546875" customWidth="1"/>
    <col min="19" max="26" width="7.7109375" customWidth="1"/>
    <col min="27" max="1025" width="12.140625" customWidth="1"/>
  </cols>
  <sheetData>
    <row r="1" spans="1:26" ht="60.75" customHeight="1" x14ac:dyDescent="0.25">
      <c r="A1" s="827" t="s">
        <v>70</v>
      </c>
      <c r="B1" s="827"/>
      <c r="C1" s="827"/>
      <c r="D1" s="827"/>
      <c r="E1" s="827"/>
      <c r="F1" s="827"/>
      <c r="G1" s="827"/>
      <c r="H1" s="827"/>
      <c r="I1" s="67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</row>
    <row r="2" spans="1:26" ht="16.5" customHeight="1" x14ac:dyDescent="0.25">
      <c r="A2" s="400"/>
      <c r="B2" s="400"/>
      <c r="C2" s="400"/>
      <c r="D2" s="401">
        <v>2024</v>
      </c>
      <c r="E2" s="401">
        <v>2025</v>
      </c>
      <c r="F2" s="401">
        <v>2025</v>
      </c>
      <c r="G2" s="401">
        <v>2026</v>
      </c>
      <c r="H2" s="400"/>
      <c r="I2" s="67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</row>
    <row r="3" spans="1:26" ht="39.75" customHeight="1" x14ac:dyDescent="0.25">
      <c r="A3" s="828" t="s">
        <v>36</v>
      </c>
      <c r="B3" s="828" t="s">
        <v>547</v>
      </c>
      <c r="C3" s="828" t="s">
        <v>548</v>
      </c>
      <c r="D3" s="828" t="s">
        <v>38</v>
      </c>
      <c r="E3" s="828" t="s">
        <v>39</v>
      </c>
      <c r="F3" s="828" t="s">
        <v>40</v>
      </c>
      <c r="G3" s="828" t="s">
        <v>549</v>
      </c>
      <c r="H3" s="828" t="s">
        <v>550</v>
      </c>
      <c r="I3" s="67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</row>
    <row r="4" spans="1:26" ht="48.75" customHeight="1" x14ac:dyDescent="0.25">
      <c r="A4" s="828"/>
      <c r="B4" s="828"/>
      <c r="C4" s="828"/>
      <c r="D4" s="828"/>
      <c r="E4" s="828"/>
      <c r="F4" s="828"/>
      <c r="G4" s="828"/>
      <c r="H4" s="828"/>
      <c r="I4" s="67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</row>
    <row r="5" spans="1:26" ht="18.75" x14ac:dyDescent="0.3">
      <c r="A5" s="628">
        <v>1</v>
      </c>
      <c r="B5" s="628">
        <v>2</v>
      </c>
      <c r="C5" s="628">
        <v>3</v>
      </c>
      <c r="D5" s="628">
        <v>4</v>
      </c>
      <c r="E5" s="628">
        <v>5</v>
      </c>
      <c r="F5" s="628">
        <v>6</v>
      </c>
      <c r="G5" s="628">
        <v>7</v>
      </c>
      <c r="H5" s="628">
        <v>8</v>
      </c>
      <c r="I5" s="67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  <c r="W5" s="320"/>
      <c r="X5" s="320"/>
      <c r="Y5" s="320"/>
      <c r="Z5" s="320"/>
    </row>
    <row r="6" spans="1:26" ht="41.25" customHeight="1" x14ac:dyDescent="0.3">
      <c r="A6" s="629" t="s">
        <v>551</v>
      </c>
      <c r="B6" s="630"/>
      <c r="C6" s="628"/>
      <c r="D6" s="628"/>
      <c r="E6" s="628"/>
      <c r="F6" s="628"/>
      <c r="G6" s="631"/>
      <c r="H6" s="628"/>
      <c r="I6" s="67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W6" s="320"/>
      <c r="X6" s="320"/>
      <c r="Y6" s="320"/>
      <c r="Z6" s="320"/>
    </row>
    <row r="7" spans="1:26" ht="93.75" x14ac:dyDescent="0.25">
      <c r="A7" s="632" t="s">
        <v>552</v>
      </c>
      <c r="B7" s="627">
        <v>5000</v>
      </c>
      <c r="C7" s="627" t="s">
        <v>553</v>
      </c>
      <c r="D7" s="633">
        <v>0.1195</v>
      </c>
      <c r="E7" s="633">
        <v>-0.10009999999999999</v>
      </c>
      <c r="F7" s="633">
        <f>'I. Фін результат_8,0%'!D128/'Осн. фін. пок.'!D72</f>
        <v>-8.6230876216968011E-2</v>
      </c>
      <c r="G7" s="633">
        <f>'I. Фін результат_8,0%'!F128/'Осн. фін. пок.'!E72</f>
        <v>-0.17511358368103855</v>
      </c>
      <c r="H7" s="634" t="s">
        <v>554</v>
      </c>
      <c r="I7" s="67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</row>
    <row r="8" spans="1:26" ht="114" customHeight="1" x14ac:dyDescent="0.25">
      <c r="A8" s="632" t="s">
        <v>555</v>
      </c>
      <c r="B8" s="627">
        <v>5010</v>
      </c>
      <c r="C8" s="627" t="s">
        <v>556</v>
      </c>
      <c r="D8" s="633">
        <v>8.8700000000000001E-2</v>
      </c>
      <c r="E8" s="633">
        <v>0</v>
      </c>
      <c r="F8" s="633">
        <v>0</v>
      </c>
      <c r="G8" s="633">
        <v>0</v>
      </c>
      <c r="H8" s="634" t="s">
        <v>557</v>
      </c>
      <c r="I8" s="67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</row>
    <row r="9" spans="1:26" ht="40.5" customHeight="1" x14ac:dyDescent="0.25">
      <c r="A9" s="629" t="s">
        <v>558</v>
      </c>
      <c r="B9" s="627"/>
      <c r="C9" s="627"/>
      <c r="D9" s="633"/>
      <c r="E9" s="633"/>
      <c r="F9" s="635"/>
      <c r="G9" s="635"/>
      <c r="H9" s="634"/>
      <c r="I9" s="67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</row>
    <row r="10" spans="1:26" ht="131.25" x14ac:dyDescent="0.3">
      <c r="A10" s="636" t="s">
        <v>559</v>
      </c>
      <c r="B10" s="627">
        <v>5100</v>
      </c>
      <c r="C10" s="627" t="s">
        <v>560</v>
      </c>
      <c r="D10" s="633">
        <v>1.1299999999999999</v>
      </c>
      <c r="E10" s="633">
        <f>'Осн. фін. пок.'!D78/'Осн. фін. пок.'!D75</f>
        <v>57.295945945945938</v>
      </c>
      <c r="F10" s="635">
        <f>'Осн. фін. пок.'!E78/'Осн. фін. пок.'!E75</f>
        <v>57.295945945945938</v>
      </c>
      <c r="G10" s="635">
        <f>'Осн. фін. пок.'!F78/'Осн. фін. пок.'!F75</f>
        <v>46.849723756906073</v>
      </c>
      <c r="H10" s="634" t="s">
        <v>561</v>
      </c>
      <c r="I10" s="67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</row>
    <row r="11" spans="1:26" ht="193.5" customHeight="1" x14ac:dyDescent="0.3">
      <c r="A11" s="636" t="s">
        <v>562</v>
      </c>
      <c r="B11" s="627">
        <v>5110</v>
      </c>
      <c r="C11" s="627" t="s">
        <v>560</v>
      </c>
      <c r="D11" s="637">
        <v>1.86</v>
      </c>
      <c r="E11" s="633">
        <v>1.236</v>
      </c>
      <c r="F11" s="635">
        <v>1.86</v>
      </c>
      <c r="G11" s="635">
        <f>'Осн. фін. пок.'!F70/'Осн. фін. пок.'!F74</f>
        <v>48.585526315789473</v>
      </c>
      <c r="H11" s="634" t="s">
        <v>563</v>
      </c>
      <c r="I11" s="67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</row>
    <row r="12" spans="1:26" ht="150" x14ac:dyDescent="0.25">
      <c r="A12" s="638" t="s">
        <v>564</v>
      </c>
      <c r="B12" s="627">
        <v>5120</v>
      </c>
      <c r="C12" s="627" t="s">
        <v>560</v>
      </c>
      <c r="D12" s="639">
        <v>10.119999999999999</v>
      </c>
      <c r="E12" s="640">
        <f>'Осн. фін. пок.'!D38/'Осн. фін. пок.'!D69</f>
        <v>0</v>
      </c>
      <c r="F12" s="640">
        <f>'Осн. фін. пок.'!E38/'Осн. фін. пок.'!E69</f>
        <v>0</v>
      </c>
      <c r="G12" s="640">
        <f>'Осн. фін. пок.'!F38/'Осн. фін. пок.'!F69</f>
        <v>0</v>
      </c>
      <c r="H12" s="638" t="s">
        <v>565</v>
      </c>
      <c r="I12" s="67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</row>
    <row r="13" spans="1:26" ht="12.6" customHeight="1" x14ac:dyDescent="0.3">
      <c r="A13" s="641"/>
      <c r="B13" s="642"/>
      <c r="C13" s="643"/>
      <c r="D13" s="644"/>
      <c r="E13" s="644"/>
      <c r="F13" s="645"/>
      <c r="G13" s="646"/>
      <c r="H13" s="647"/>
      <c r="I13" s="403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12.6" customHeight="1" x14ac:dyDescent="0.3">
      <c r="A14" s="648"/>
      <c r="B14" s="649"/>
      <c r="C14" s="650"/>
      <c r="D14" s="644"/>
      <c r="E14" s="644"/>
      <c r="F14" s="644"/>
      <c r="G14" s="644"/>
      <c r="H14" s="650"/>
      <c r="I14" s="403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24" customHeight="1" x14ac:dyDescent="0.3">
      <c r="A15" s="651" t="s">
        <v>85</v>
      </c>
      <c r="B15" s="641"/>
      <c r="C15" s="652"/>
      <c r="D15" s="652"/>
      <c r="E15" s="652"/>
      <c r="F15" s="641"/>
      <c r="G15" s="641"/>
      <c r="H15" s="641" t="s">
        <v>86</v>
      </c>
      <c r="I15" s="320"/>
      <c r="J15" s="289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</row>
    <row r="16" spans="1:26" ht="24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9">
    <mergeCell ref="A1:H1"/>
    <mergeCell ref="A3:A4"/>
    <mergeCell ref="B3:B4"/>
    <mergeCell ref="C3:C4"/>
    <mergeCell ref="D3:D4"/>
    <mergeCell ref="E3:E4"/>
    <mergeCell ref="F3:F4"/>
    <mergeCell ref="G3:G4"/>
    <mergeCell ref="H3:H4"/>
  </mergeCells>
  <printOptions horizontalCentered="1"/>
  <pageMargins left="0.9055118110236221" right="0.19685039370078741" top="0.55118110236220474" bottom="0.55118110236220474" header="0.11811023622047245" footer="0.11811023622047245"/>
  <pageSetup paperSize="9" scale="61" firstPageNumber="0" fitToHeight="0" pageOrder="overThenDown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N33"/>
  <sheetViews>
    <sheetView view="pageBreakPreview" zoomScaleNormal="111" workbookViewId="0">
      <selection activeCell="R6" sqref="R6"/>
    </sheetView>
  </sheetViews>
  <sheetFormatPr defaultRowHeight="12.75" x14ac:dyDescent="0.2"/>
  <cols>
    <col min="1" max="1" width="8.7109375" customWidth="1"/>
    <col min="2" max="2" width="44.42578125" customWidth="1"/>
    <col min="3" max="3" width="12.28515625" customWidth="1"/>
    <col min="4" max="4" width="0.7109375" hidden="1" customWidth="1"/>
    <col min="5" max="5" width="10.7109375" customWidth="1"/>
    <col min="6" max="6" width="12.28515625" hidden="1" customWidth="1"/>
    <col min="7" max="7" width="11" customWidth="1"/>
    <col min="8" max="8" width="14.7109375" customWidth="1"/>
    <col min="9" max="9" width="11.7109375" customWidth="1"/>
    <col min="10" max="10" width="11.42578125" customWidth="1"/>
    <col min="11" max="11" width="10" customWidth="1"/>
    <col min="12" max="12" width="11" customWidth="1"/>
    <col min="13" max="13" width="13" customWidth="1"/>
    <col min="14" max="14" width="10.7109375" customWidth="1"/>
    <col min="15" max="1025" width="8.7109375" customWidth="1"/>
  </cols>
  <sheetData>
    <row r="1" spans="1:14" ht="31.5" customHeight="1" x14ac:dyDescent="0.3">
      <c r="A1" s="15"/>
      <c r="B1" s="840" t="s">
        <v>566</v>
      </c>
      <c r="C1" s="840"/>
      <c r="D1" s="840"/>
      <c r="E1" s="840"/>
      <c r="F1" s="840"/>
      <c r="G1" s="840"/>
      <c r="H1" s="840"/>
      <c r="I1" s="840"/>
      <c r="J1" s="840"/>
      <c r="K1" s="840"/>
      <c r="L1" s="840"/>
      <c r="M1" s="840"/>
    </row>
    <row r="2" spans="1:14" ht="89.25" customHeight="1" thickBot="1" x14ac:dyDescent="0.35">
      <c r="A2" s="320"/>
      <c r="B2" s="841" t="s">
        <v>567</v>
      </c>
      <c r="C2" s="841"/>
      <c r="D2" s="841"/>
      <c r="E2" s="841"/>
      <c r="F2" s="841"/>
      <c r="G2" s="841"/>
      <c r="H2" s="841"/>
      <c r="I2" s="841"/>
      <c r="J2" s="841"/>
      <c r="K2" s="841"/>
      <c r="L2" s="841"/>
      <c r="M2" s="841"/>
    </row>
    <row r="3" spans="1:14" ht="33.75" customHeight="1" x14ac:dyDescent="0.2">
      <c r="A3" s="829" t="s">
        <v>568</v>
      </c>
      <c r="B3" s="831" t="s">
        <v>569</v>
      </c>
      <c r="C3" s="831" t="s">
        <v>570</v>
      </c>
      <c r="D3" s="833"/>
      <c r="E3" s="845" t="s">
        <v>571</v>
      </c>
      <c r="F3" s="846"/>
      <c r="G3" s="847"/>
      <c r="H3" s="842" t="s">
        <v>572</v>
      </c>
      <c r="I3" s="842"/>
      <c r="J3" s="842"/>
      <c r="K3" s="842"/>
      <c r="L3" s="842"/>
      <c r="M3" s="706"/>
    </row>
    <row r="4" spans="1:14" ht="39.75" customHeight="1" x14ac:dyDescent="0.2">
      <c r="A4" s="830"/>
      <c r="B4" s="832"/>
      <c r="C4" s="832"/>
      <c r="D4" s="834"/>
      <c r="E4" s="835" t="s">
        <v>573</v>
      </c>
      <c r="F4" s="851" t="s">
        <v>574</v>
      </c>
      <c r="G4" s="848" t="s">
        <v>574</v>
      </c>
      <c r="H4" s="835" t="s">
        <v>575</v>
      </c>
      <c r="I4" s="835" t="s">
        <v>576</v>
      </c>
      <c r="J4" s="835"/>
      <c r="K4" s="835"/>
      <c r="L4" s="835" t="s">
        <v>870</v>
      </c>
      <c r="M4" s="843"/>
    </row>
    <row r="5" spans="1:14" ht="39.75" customHeight="1" x14ac:dyDescent="0.2">
      <c r="A5" s="830"/>
      <c r="B5" s="832"/>
      <c r="C5" s="832"/>
      <c r="D5" s="834"/>
      <c r="E5" s="835"/>
      <c r="F5" s="851"/>
      <c r="G5" s="849"/>
      <c r="H5" s="835"/>
      <c r="I5" s="844" t="s">
        <v>577</v>
      </c>
      <c r="J5" s="835" t="s">
        <v>578</v>
      </c>
      <c r="K5" s="836" t="s">
        <v>579</v>
      </c>
      <c r="L5" s="837" t="s">
        <v>892</v>
      </c>
      <c r="M5" s="838" t="s">
        <v>891</v>
      </c>
    </row>
    <row r="6" spans="1:14" ht="181.5" customHeight="1" x14ac:dyDescent="0.2">
      <c r="A6" s="830"/>
      <c r="B6" s="832"/>
      <c r="C6" s="832"/>
      <c r="D6" s="834"/>
      <c r="E6" s="835"/>
      <c r="F6" s="851"/>
      <c r="G6" s="850"/>
      <c r="H6" s="835"/>
      <c r="I6" s="844"/>
      <c r="J6" s="835"/>
      <c r="K6" s="836"/>
      <c r="L6" s="837"/>
      <c r="M6" s="838"/>
    </row>
    <row r="7" spans="1:14" ht="46.5" customHeight="1" x14ac:dyDescent="0.35">
      <c r="A7" s="707">
        <v>1</v>
      </c>
      <c r="B7" s="331" t="s">
        <v>580</v>
      </c>
      <c r="C7" s="404" t="s">
        <v>581</v>
      </c>
      <c r="D7" s="405">
        <v>1</v>
      </c>
      <c r="E7" s="406"/>
      <c r="F7" s="407"/>
      <c r="G7" s="703"/>
      <c r="H7" s="408"/>
      <c r="I7" s="409"/>
      <c r="J7" s="408"/>
      <c r="K7" s="410"/>
      <c r="L7" s="686" t="s">
        <v>366</v>
      </c>
      <c r="M7" s="708" t="s">
        <v>366</v>
      </c>
      <c r="N7" s="411"/>
    </row>
    <row r="8" spans="1:14" ht="54.75" customHeight="1" x14ac:dyDescent="0.35">
      <c r="A8" s="707">
        <v>2</v>
      </c>
      <c r="B8" s="688" t="s">
        <v>839</v>
      </c>
      <c r="C8" s="689" t="s">
        <v>587</v>
      </c>
      <c r="D8" s="405">
        <v>1</v>
      </c>
      <c r="E8" s="412"/>
      <c r="F8" s="407">
        <v>4.12</v>
      </c>
      <c r="G8" s="703">
        <v>3.13</v>
      </c>
      <c r="H8" s="408">
        <v>19</v>
      </c>
      <c r="I8" s="414">
        <v>19</v>
      </c>
      <c r="J8" s="408"/>
      <c r="K8" s="410"/>
      <c r="L8" s="763">
        <v>16667</v>
      </c>
      <c r="M8" s="766">
        <v>22334</v>
      </c>
      <c r="N8" s="411"/>
    </row>
    <row r="9" spans="1:14" ht="67.5" customHeight="1" x14ac:dyDescent="0.35">
      <c r="A9" s="707">
        <v>3</v>
      </c>
      <c r="B9" s="688" t="s">
        <v>615</v>
      </c>
      <c r="C9" s="690">
        <v>1231</v>
      </c>
      <c r="D9" s="405">
        <v>1</v>
      </c>
      <c r="E9" s="412"/>
      <c r="F9" s="412">
        <v>2.9</v>
      </c>
      <c r="G9" s="704">
        <v>4.12</v>
      </c>
      <c r="H9" s="408">
        <v>15</v>
      </c>
      <c r="I9" s="414">
        <v>15</v>
      </c>
      <c r="J9" s="408"/>
      <c r="K9" s="410"/>
      <c r="L9" s="763">
        <v>21938</v>
      </c>
      <c r="M9" s="766">
        <v>28519</v>
      </c>
      <c r="N9" s="411"/>
    </row>
    <row r="10" spans="1:14" ht="82.5" customHeight="1" x14ac:dyDescent="0.35">
      <c r="A10" s="709">
        <v>4</v>
      </c>
      <c r="B10" s="331" t="s">
        <v>582</v>
      </c>
      <c r="C10" s="404" t="s">
        <v>583</v>
      </c>
      <c r="D10" s="405">
        <v>1</v>
      </c>
      <c r="E10" s="412"/>
      <c r="F10" s="412">
        <v>2.9</v>
      </c>
      <c r="G10" s="704">
        <v>2.9</v>
      </c>
      <c r="H10" s="408">
        <f>I10+J10</f>
        <v>15</v>
      </c>
      <c r="I10" s="414">
        <v>15</v>
      </c>
      <c r="J10" s="408"/>
      <c r="K10" s="410"/>
      <c r="L10" s="763">
        <v>15442</v>
      </c>
      <c r="M10" s="766">
        <v>20075</v>
      </c>
      <c r="N10" s="411"/>
    </row>
    <row r="11" spans="1:14" ht="82.5" customHeight="1" x14ac:dyDescent="0.35">
      <c r="A11" s="709">
        <v>5</v>
      </c>
      <c r="B11" s="415" t="s">
        <v>584</v>
      </c>
      <c r="C11" s="689" t="s">
        <v>585</v>
      </c>
      <c r="D11" s="405">
        <v>1</v>
      </c>
      <c r="E11" s="412"/>
      <c r="F11" s="412">
        <v>2.34</v>
      </c>
      <c r="G11" s="704">
        <v>2.34</v>
      </c>
      <c r="H11" s="413">
        <f>I11+J11+K11</f>
        <v>35</v>
      </c>
      <c r="I11" s="414">
        <v>35</v>
      </c>
      <c r="J11" s="408"/>
      <c r="K11" s="410"/>
      <c r="L11" s="763">
        <v>12460</v>
      </c>
      <c r="M11" s="766">
        <v>18690</v>
      </c>
      <c r="N11" s="411"/>
    </row>
    <row r="12" spans="1:14" ht="75" customHeight="1" x14ac:dyDescent="0.35">
      <c r="A12" s="707">
        <v>6</v>
      </c>
      <c r="B12" s="419" t="s">
        <v>588</v>
      </c>
      <c r="C12" s="420">
        <v>4211</v>
      </c>
      <c r="D12" s="417">
        <v>1</v>
      </c>
      <c r="E12" s="418"/>
      <c r="F12" s="418">
        <v>2.39</v>
      </c>
      <c r="G12" s="705">
        <v>2.39</v>
      </c>
      <c r="H12" s="413">
        <f>I12+J12+K12</f>
        <v>6</v>
      </c>
      <c r="I12" s="421">
        <v>6</v>
      </c>
      <c r="J12" s="422"/>
      <c r="K12" s="423"/>
      <c r="L12" s="764">
        <v>12726</v>
      </c>
      <c r="M12" s="767">
        <v>15398</v>
      </c>
      <c r="N12" s="411"/>
    </row>
    <row r="13" spans="1:14" ht="56.25" customHeight="1" thickBot="1" x14ac:dyDescent="0.4">
      <c r="A13" s="710">
        <v>7</v>
      </c>
      <c r="B13" s="711" t="s">
        <v>589</v>
      </c>
      <c r="C13" s="712">
        <v>4211</v>
      </c>
      <c r="D13" s="713">
        <v>1</v>
      </c>
      <c r="E13" s="714"/>
      <c r="F13" s="714">
        <v>2.39</v>
      </c>
      <c r="G13" s="715">
        <v>2.39</v>
      </c>
      <c r="H13" s="716">
        <f>I13+J13+K13</f>
        <v>4</v>
      </c>
      <c r="I13" s="717"/>
      <c r="J13" s="716"/>
      <c r="K13" s="718">
        <v>4</v>
      </c>
      <c r="L13" s="765">
        <v>12726</v>
      </c>
      <c r="M13" s="768">
        <v>15144</v>
      </c>
      <c r="N13" s="411"/>
    </row>
    <row r="14" spans="1:14" ht="27" hidden="1" customHeight="1" x14ac:dyDescent="0.3">
      <c r="A14" s="8"/>
      <c r="B14" s="424"/>
      <c r="C14" s="425"/>
      <c r="D14" s="425"/>
      <c r="E14" s="9"/>
      <c r="F14" s="15"/>
      <c r="G14" s="15"/>
      <c r="H14" s="408">
        <f>I14+J14+K14</f>
        <v>0</v>
      </c>
      <c r="I14" s="426"/>
      <c r="J14" s="427"/>
      <c r="K14" s="428"/>
      <c r="L14" s="429"/>
      <c r="M14" s="430">
        <f>SUM(M7:M13)</f>
        <v>120160</v>
      </c>
      <c r="N14" s="411"/>
    </row>
    <row r="15" spans="1:14" s="320" customFormat="1" ht="16.5" customHeight="1" x14ac:dyDescent="0.3">
      <c r="B15" s="18"/>
      <c r="C15" s="18"/>
      <c r="D15" s="18"/>
      <c r="K15" s="839"/>
      <c r="L15" s="839"/>
      <c r="M15" s="839"/>
    </row>
    <row r="19" spans="2:13" ht="18.75" x14ac:dyDescent="0.3">
      <c r="B19" s="18" t="s">
        <v>85</v>
      </c>
      <c r="C19" s="18"/>
      <c r="D19" s="18"/>
      <c r="E19" s="320"/>
      <c r="F19" s="320"/>
      <c r="G19" s="320"/>
      <c r="H19" s="320"/>
      <c r="I19" s="320"/>
      <c r="J19" s="320" t="s">
        <v>86</v>
      </c>
      <c r="K19" s="10"/>
      <c r="L19" s="10"/>
      <c r="M19" s="10"/>
    </row>
    <row r="33" spans="3:3" x14ac:dyDescent="0.2">
      <c r="C33" t="s">
        <v>862</v>
      </c>
    </row>
  </sheetData>
  <mergeCells count="20">
    <mergeCell ref="K5:K6"/>
    <mergeCell ref="L5:L6"/>
    <mergeCell ref="M5:M6"/>
    <mergeCell ref="K15:M15"/>
    <mergeCell ref="B1:M1"/>
    <mergeCell ref="B2:M2"/>
    <mergeCell ref="H3:L3"/>
    <mergeCell ref="H4:H6"/>
    <mergeCell ref="I4:K4"/>
    <mergeCell ref="L4:M4"/>
    <mergeCell ref="I5:I6"/>
    <mergeCell ref="J5:J6"/>
    <mergeCell ref="E3:G3"/>
    <mergeCell ref="G4:G6"/>
    <mergeCell ref="F4:F6"/>
    <mergeCell ref="A3:A6"/>
    <mergeCell ref="B3:B6"/>
    <mergeCell ref="C3:C6"/>
    <mergeCell ref="D3:D6"/>
    <mergeCell ref="E4:E6"/>
  </mergeCells>
  <printOptions horizontalCentered="1"/>
  <pageMargins left="0.25" right="0.25" top="0.75" bottom="0.75" header="0.3" footer="0.3"/>
  <pageSetup paperSize="9" scale="56" firstPageNumber="0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AC923"/>
  <sheetViews>
    <sheetView view="pageBreakPreview" zoomScale="70" zoomScaleNormal="111" zoomScalePageLayoutView="70" workbookViewId="0">
      <selection activeCell="L14" sqref="L14"/>
    </sheetView>
  </sheetViews>
  <sheetFormatPr defaultRowHeight="12.75" x14ac:dyDescent="0.2"/>
  <cols>
    <col min="1" max="1" width="5.7109375" style="431" customWidth="1"/>
    <col min="2" max="2" width="44.140625" customWidth="1"/>
    <col min="3" max="3" width="15.85546875" customWidth="1"/>
    <col min="4" max="4" width="13.140625" customWidth="1"/>
    <col min="5" max="5" width="16.85546875" customWidth="1"/>
    <col min="6" max="6" width="10.85546875" customWidth="1"/>
    <col min="7" max="7" width="18.7109375" customWidth="1"/>
    <col min="8" max="10" width="17.7109375" customWidth="1"/>
    <col min="11" max="11" width="12.5703125" customWidth="1"/>
    <col min="12" max="12" width="16.5703125" customWidth="1"/>
    <col min="13" max="13" width="10.7109375" customWidth="1"/>
    <col min="14" max="14" width="15.140625" customWidth="1"/>
    <col min="15" max="15" width="13.7109375" customWidth="1"/>
    <col min="16" max="16" width="10.140625" customWidth="1"/>
    <col min="17" max="17" width="17" customWidth="1"/>
    <col min="18" max="18" width="16.28515625" customWidth="1"/>
    <col min="19" max="19" width="0.140625" customWidth="1"/>
    <col min="20" max="20" width="12.85546875" customWidth="1"/>
    <col min="21" max="21" width="11.85546875" customWidth="1"/>
    <col min="22" max="22" width="17.42578125" customWidth="1"/>
    <col min="23" max="23" width="12.42578125" customWidth="1"/>
    <col min="24" max="24" width="12.85546875" customWidth="1"/>
    <col min="25" max="25" width="10.42578125" customWidth="1"/>
    <col min="26" max="26" width="11.85546875" customWidth="1"/>
    <col min="27" max="29" width="17" customWidth="1"/>
    <col min="30" max="1025" width="12.140625" customWidth="1"/>
  </cols>
  <sheetData>
    <row r="1" spans="1:29" ht="53.25" customHeight="1" x14ac:dyDescent="0.35">
      <c r="A1" s="432" t="s">
        <v>341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852" t="s">
        <v>590</v>
      </c>
      <c r="P1" s="852"/>
      <c r="Q1" s="852"/>
      <c r="R1" s="852"/>
      <c r="V1" s="434"/>
    </row>
    <row r="2" spans="1:29" ht="35.25" customHeight="1" x14ac:dyDescent="0.2">
      <c r="A2" s="853" t="s">
        <v>869</v>
      </c>
      <c r="B2" s="853"/>
      <c r="C2" s="853"/>
      <c r="D2" s="853"/>
      <c r="E2" s="853"/>
      <c r="F2" s="853"/>
      <c r="G2" s="853"/>
      <c r="H2" s="853"/>
      <c r="I2" s="853"/>
      <c r="J2" s="853"/>
      <c r="K2" s="853"/>
      <c r="L2" s="853"/>
      <c r="M2" s="853"/>
      <c r="N2" s="853"/>
      <c r="O2" s="853"/>
      <c r="P2" s="853"/>
      <c r="Q2" s="853"/>
      <c r="R2" s="853"/>
      <c r="V2" s="434"/>
    </row>
    <row r="3" spans="1:29" ht="18.75" customHeight="1" x14ac:dyDescent="0.2">
      <c r="A3" s="854" t="s">
        <v>568</v>
      </c>
      <c r="B3" s="855" t="s">
        <v>591</v>
      </c>
      <c r="C3" s="856" t="s">
        <v>592</v>
      </c>
      <c r="D3" s="856"/>
      <c r="E3" s="857" t="s">
        <v>593</v>
      </c>
      <c r="F3" s="857" t="s">
        <v>594</v>
      </c>
      <c r="G3" s="857"/>
      <c r="H3" s="857"/>
      <c r="I3" s="857"/>
      <c r="J3" s="857"/>
      <c r="K3" s="857"/>
      <c r="L3" s="857"/>
      <c r="M3" s="857"/>
      <c r="N3" s="857"/>
      <c r="O3" s="857"/>
      <c r="P3" s="857"/>
      <c r="Q3" s="857" t="s">
        <v>595</v>
      </c>
      <c r="R3" s="859" t="s">
        <v>596</v>
      </c>
      <c r="V3" s="434"/>
    </row>
    <row r="4" spans="1:29" ht="17.25" customHeight="1" x14ac:dyDescent="0.2">
      <c r="A4" s="854"/>
      <c r="B4" s="855"/>
      <c r="C4" s="855"/>
      <c r="D4" s="856"/>
      <c r="E4" s="857"/>
      <c r="F4" s="858" t="s">
        <v>597</v>
      </c>
      <c r="G4" s="858"/>
      <c r="H4" s="858"/>
      <c r="I4" s="858"/>
      <c r="J4" s="858"/>
      <c r="K4" s="858"/>
      <c r="L4" s="858"/>
      <c r="M4" s="858" t="s">
        <v>598</v>
      </c>
      <c r="N4" s="858"/>
      <c r="O4" s="858" t="s">
        <v>599</v>
      </c>
      <c r="P4" s="860" t="s">
        <v>600</v>
      </c>
      <c r="Q4" s="857"/>
      <c r="R4" s="859"/>
      <c r="V4" s="434"/>
    </row>
    <row r="5" spans="1:29" ht="65.25" customHeight="1" x14ac:dyDescent="0.3">
      <c r="A5" s="854"/>
      <c r="B5" s="855"/>
      <c r="C5" s="858" t="s">
        <v>601</v>
      </c>
      <c r="D5" s="435" t="s">
        <v>602</v>
      </c>
      <c r="E5" s="857"/>
      <c r="F5" s="861" t="s">
        <v>603</v>
      </c>
      <c r="G5" s="862" t="s">
        <v>604</v>
      </c>
      <c r="H5" s="862"/>
      <c r="I5" s="862" t="s">
        <v>578</v>
      </c>
      <c r="J5" s="862"/>
      <c r="K5" s="864" t="s">
        <v>579</v>
      </c>
      <c r="L5" s="864"/>
      <c r="M5" s="865" t="s">
        <v>605</v>
      </c>
      <c r="N5" s="860" t="s">
        <v>606</v>
      </c>
      <c r="O5" s="858"/>
      <c r="P5" s="858"/>
      <c r="Q5" s="858"/>
      <c r="R5" s="859"/>
      <c r="V5" s="434"/>
    </row>
    <row r="6" spans="1:29" ht="165.75" customHeight="1" x14ac:dyDescent="0.2">
      <c r="A6" s="854"/>
      <c r="B6" s="855"/>
      <c r="C6" s="858"/>
      <c r="D6" s="436" t="s">
        <v>607</v>
      </c>
      <c r="E6" s="857"/>
      <c r="F6" s="861"/>
      <c r="G6" s="437" t="s">
        <v>605</v>
      </c>
      <c r="H6" s="438" t="s">
        <v>608</v>
      </c>
      <c r="I6" s="437" t="s">
        <v>605</v>
      </c>
      <c r="J6" s="438" t="s">
        <v>608</v>
      </c>
      <c r="K6" s="437" t="s">
        <v>605</v>
      </c>
      <c r="L6" s="438" t="s">
        <v>608</v>
      </c>
      <c r="M6" s="865"/>
      <c r="N6" s="865"/>
      <c r="O6" s="858"/>
      <c r="P6" s="860"/>
      <c r="Q6" s="857"/>
      <c r="R6" s="859"/>
      <c r="V6" s="434"/>
      <c r="AA6" s="439"/>
      <c r="AB6" s="439"/>
    </row>
    <row r="7" spans="1:29" ht="33.75" customHeight="1" x14ac:dyDescent="0.3">
      <c r="A7" s="440"/>
      <c r="B7" s="441" t="s">
        <v>609</v>
      </c>
      <c r="C7" s="442">
        <v>28</v>
      </c>
      <c r="D7" s="443">
        <f>ROUND(SUM(D8:D14),0)</f>
        <v>0</v>
      </c>
      <c r="E7" s="442">
        <f>SUM(E8:E14)</f>
        <v>4463.2719999999999</v>
      </c>
      <c r="F7" s="442">
        <f>SUM(F8:F14)</f>
        <v>310.32875999999999</v>
      </c>
      <c r="G7" s="443"/>
      <c r="H7" s="442">
        <f>SUM(H8:H14)</f>
        <v>175.94220000000001</v>
      </c>
      <c r="I7" s="442">
        <f>I9+I10+I11</f>
        <v>0</v>
      </c>
      <c r="J7" s="442">
        <f>J9+J10+J11</f>
        <v>0</v>
      </c>
      <c r="K7" s="442">
        <f t="shared" ref="K7:S7" si="0">SUM(K8:K14)</f>
        <v>4</v>
      </c>
      <c r="L7" s="442">
        <f t="shared" si="0"/>
        <v>134.38656</v>
      </c>
      <c r="M7" s="444">
        <v>0.15</v>
      </c>
      <c r="N7" s="442">
        <f t="shared" si="0"/>
        <v>669.49080000000004</v>
      </c>
      <c r="O7" s="442">
        <f t="shared" si="0"/>
        <v>0</v>
      </c>
      <c r="P7" s="442">
        <f t="shared" si="0"/>
        <v>453.6</v>
      </c>
      <c r="Q7" s="442">
        <f t="shared" si="0"/>
        <v>0</v>
      </c>
      <c r="R7" s="445">
        <f>SUM(R8:R14)</f>
        <v>5896.5999999999995</v>
      </c>
      <c r="S7" s="446" t="e">
        <f t="shared" si="0"/>
        <v>#VALUE!</v>
      </c>
      <c r="V7" s="434"/>
      <c r="AA7" s="447"/>
      <c r="AB7" s="448"/>
      <c r="AC7" s="449"/>
    </row>
    <row r="8" spans="1:29" ht="27.6" customHeight="1" x14ac:dyDescent="0.35">
      <c r="A8" s="440">
        <v>1</v>
      </c>
      <c r="B8" s="450" t="s">
        <v>580</v>
      </c>
      <c r="C8" s="451" t="s">
        <v>610</v>
      </c>
      <c r="D8" s="451"/>
      <c r="E8" s="452" t="s">
        <v>366</v>
      </c>
      <c r="F8" s="452">
        <f>SUM(G8:L8)</f>
        <v>0</v>
      </c>
      <c r="G8" s="452"/>
      <c r="H8" s="452"/>
      <c r="I8" s="452"/>
      <c r="J8" s="452"/>
      <c r="K8" s="452"/>
      <c r="L8" s="452"/>
      <c r="M8" s="453" t="s">
        <v>366</v>
      </c>
      <c r="N8" s="452" t="s">
        <v>366</v>
      </c>
      <c r="O8" s="454"/>
      <c r="P8" s="452" t="s">
        <v>366</v>
      </c>
      <c r="Q8" s="452"/>
      <c r="R8" s="455"/>
      <c r="S8" s="456" t="e">
        <f>N8/4*1000</f>
        <v>#VALUE!</v>
      </c>
      <c r="T8" s="457" t="s">
        <v>611</v>
      </c>
      <c r="U8" s="458" t="s">
        <v>612</v>
      </c>
      <c r="V8" s="458" t="s">
        <v>613</v>
      </c>
      <c r="W8" s="459" t="s">
        <v>614</v>
      </c>
      <c r="X8" s="460">
        <f>4933.3*3</f>
        <v>14799.900000000001</v>
      </c>
      <c r="AA8" s="447"/>
      <c r="AB8" s="448"/>
      <c r="AC8" s="449"/>
    </row>
    <row r="9" spans="1:29" ht="24.75" customHeight="1" x14ac:dyDescent="0.35">
      <c r="A9" s="440">
        <v>2</v>
      </c>
      <c r="B9" s="687" t="s">
        <v>620</v>
      </c>
      <c r="C9" s="462">
        <v>1</v>
      </c>
      <c r="D9" s="462"/>
      <c r="E9" s="463">
        <f>16667*12/1000</f>
        <v>200.00399999999999</v>
      </c>
      <c r="F9" s="463">
        <f>H9</f>
        <v>38.00076</v>
      </c>
      <c r="G9" s="463">
        <v>19</v>
      </c>
      <c r="H9" s="463">
        <f>(16667*12)*19%/1000</f>
        <v>38.00076</v>
      </c>
      <c r="I9" s="463"/>
      <c r="J9" s="463"/>
      <c r="K9" s="463"/>
      <c r="L9" s="463"/>
      <c r="M9" s="464">
        <v>0.15</v>
      </c>
      <c r="N9" s="463">
        <f>E9*M9</f>
        <v>30.000599999999999</v>
      </c>
      <c r="O9" s="465">
        <v>0</v>
      </c>
      <c r="P9" s="463">
        <v>22.3</v>
      </c>
      <c r="Q9" s="463"/>
      <c r="R9" s="455">
        <f>ROUND((E9+F9+P9+Q9+O9+N9),1)</f>
        <v>290.3</v>
      </c>
      <c r="S9" s="466">
        <f>N9/4*1000</f>
        <v>7500.15</v>
      </c>
      <c r="T9" s="467" t="s">
        <v>616</v>
      </c>
      <c r="U9" s="468" t="s">
        <v>617</v>
      </c>
      <c r="V9" s="469" t="s">
        <v>618</v>
      </c>
      <c r="W9" s="470"/>
      <c r="X9" s="471">
        <f>67335.77</f>
        <v>67335.77</v>
      </c>
      <c r="Y9" s="471"/>
      <c r="Z9" s="471"/>
      <c r="AA9" s="472"/>
      <c r="AB9" s="472"/>
      <c r="AC9" s="473"/>
    </row>
    <row r="10" spans="1:29" ht="51" customHeight="1" x14ac:dyDescent="0.35">
      <c r="A10" s="440">
        <v>3</v>
      </c>
      <c r="B10" s="687" t="s">
        <v>840</v>
      </c>
      <c r="C10" s="462">
        <v>1</v>
      </c>
      <c r="D10" s="462"/>
      <c r="E10" s="463">
        <f>21938*12/1000</f>
        <v>263.25599999999997</v>
      </c>
      <c r="F10" s="463">
        <f>J10+H10</f>
        <v>39.488399999999999</v>
      </c>
      <c r="G10" s="463">
        <v>15</v>
      </c>
      <c r="H10" s="463">
        <f>(21938*12)*15%/1000</f>
        <v>39.488399999999999</v>
      </c>
      <c r="I10" s="463"/>
      <c r="J10" s="463"/>
      <c r="K10" s="463"/>
      <c r="L10" s="463"/>
      <c r="M10" s="464">
        <v>0.15</v>
      </c>
      <c r="N10" s="463">
        <f>E10*M10</f>
        <v>39.488399999999992</v>
      </c>
      <c r="O10" s="465">
        <v>0</v>
      </c>
      <c r="P10" s="463">
        <v>28.5</v>
      </c>
      <c r="Q10" s="463"/>
      <c r="R10" s="455">
        <f>ROUND((E10+F10+P10+Q10+O10+N10),1)</f>
        <v>370.7</v>
      </c>
      <c r="S10" s="466">
        <f>N10/4*1000</f>
        <v>9872.0999999999985</v>
      </c>
      <c r="T10" s="472"/>
      <c r="U10" s="472"/>
      <c r="V10" s="474"/>
      <c r="W10" s="471"/>
      <c r="X10" s="471">
        <f>16621.78+16884.25+28796.21</f>
        <v>62302.239999999998</v>
      </c>
      <c r="Y10" s="471"/>
      <c r="Z10" s="471"/>
      <c r="AA10" s="472"/>
      <c r="AB10" s="472"/>
      <c r="AC10" s="473"/>
    </row>
    <row r="11" spans="1:29" ht="30.75" customHeight="1" x14ac:dyDescent="0.35">
      <c r="A11" s="440">
        <v>4</v>
      </c>
      <c r="B11" s="461" t="s">
        <v>582</v>
      </c>
      <c r="C11" s="462">
        <v>1</v>
      </c>
      <c r="D11" s="462"/>
      <c r="E11" s="463">
        <f>15442*12/1000+0.1</f>
        <v>185.404</v>
      </c>
      <c r="F11" s="463">
        <f>H11+J11</f>
        <v>27.7956</v>
      </c>
      <c r="G11" s="463">
        <v>15</v>
      </c>
      <c r="H11" s="463">
        <f>(15442*12)*15%/1000</f>
        <v>27.7956</v>
      </c>
      <c r="I11" s="463"/>
      <c r="J11" s="463"/>
      <c r="K11" s="463"/>
      <c r="L11" s="463"/>
      <c r="M11" s="464">
        <v>0.15</v>
      </c>
      <c r="N11" s="463">
        <f>E11*M11</f>
        <v>27.810599999999997</v>
      </c>
      <c r="O11" s="465">
        <v>0</v>
      </c>
      <c r="P11" s="463">
        <v>20.100000000000001</v>
      </c>
      <c r="Q11" s="463"/>
      <c r="R11" s="769">
        <f>ROUND((E11+F11+P11+Q11+O11+N11),1)</f>
        <v>261.10000000000002</v>
      </c>
      <c r="S11" s="466">
        <f>N11/4*1000</f>
        <v>6952.65</v>
      </c>
      <c r="T11" s="476"/>
      <c r="U11" s="476"/>
      <c r="V11" s="473"/>
      <c r="W11" s="476"/>
      <c r="X11" s="471">
        <f>14154.1+14773.46+22906.37</f>
        <v>51833.929999999993</v>
      </c>
      <c r="Y11" s="471"/>
      <c r="Z11" s="471"/>
      <c r="AA11" s="472"/>
      <c r="AB11" s="472"/>
      <c r="AC11" s="473"/>
    </row>
    <row r="12" spans="1:29" ht="75" customHeight="1" x14ac:dyDescent="0.3">
      <c r="A12" s="440"/>
      <c r="B12" s="475" t="s">
        <v>619</v>
      </c>
      <c r="C12" s="462">
        <v>1</v>
      </c>
      <c r="D12" s="462"/>
      <c r="E12" s="463">
        <f>12460*12/1000</f>
        <v>149.52000000000001</v>
      </c>
      <c r="F12" s="463">
        <f>H12+J12</f>
        <v>52.332000000000001</v>
      </c>
      <c r="G12" s="463">
        <v>35</v>
      </c>
      <c r="H12" s="463">
        <f>(12460*12)*35%/1000</f>
        <v>52.332000000000001</v>
      </c>
      <c r="I12" s="463"/>
      <c r="J12" s="463"/>
      <c r="K12" s="463"/>
      <c r="L12" s="463"/>
      <c r="M12" s="464">
        <v>0.15</v>
      </c>
      <c r="N12" s="463">
        <f t="shared" ref="N12:N14" si="1">E12*M12</f>
        <v>22.428000000000001</v>
      </c>
      <c r="O12" s="465">
        <v>0</v>
      </c>
      <c r="P12" s="463">
        <v>18.7</v>
      </c>
      <c r="Q12" s="463"/>
      <c r="R12" s="455">
        <f>ROUND((E12+F12+P12+Q12+O12+N12),1)</f>
        <v>243</v>
      </c>
      <c r="S12" s="466">
        <f>N12/4*1000</f>
        <v>5607</v>
      </c>
      <c r="T12" s="476"/>
      <c r="U12" s="476"/>
      <c r="V12" s="473"/>
      <c r="W12" s="476"/>
      <c r="X12" s="471"/>
      <c r="Y12" s="471"/>
      <c r="Z12" s="471"/>
      <c r="AA12" s="472"/>
      <c r="AB12" s="472"/>
      <c r="AC12" s="473"/>
    </row>
    <row r="13" spans="1:29" ht="59.25" customHeight="1" x14ac:dyDescent="0.3">
      <c r="A13" s="440">
        <v>5</v>
      </c>
      <c r="B13" s="477" t="s">
        <v>621</v>
      </c>
      <c r="C13" s="478">
        <v>2</v>
      </c>
      <c r="D13" s="478"/>
      <c r="E13" s="479">
        <f>12726*C13*12/1000</f>
        <v>305.42399999999998</v>
      </c>
      <c r="F13" s="479">
        <f>H13</f>
        <v>18.32544</v>
      </c>
      <c r="G13" s="479">
        <v>6</v>
      </c>
      <c r="H13" s="463">
        <f>((12726*12)*6%/1000)*2</f>
        <v>18.32544</v>
      </c>
      <c r="I13" s="479"/>
      <c r="J13" s="479"/>
      <c r="K13" s="479"/>
      <c r="L13" s="479"/>
      <c r="M13" s="480">
        <v>0.15</v>
      </c>
      <c r="N13" s="463">
        <f t="shared" si="1"/>
        <v>45.813599999999994</v>
      </c>
      <c r="O13" s="465">
        <v>0</v>
      </c>
      <c r="P13" s="463">
        <v>30.8</v>
      </c>
      <c r="Q13" s="478"/>
      <c r="R13" s="455">
        <f>ROUND((E13+F13+P13+Q13+O13+N13),1)</f>
        <v>400.4</v>
      </c>
      <c r="S13" s="466">
        <f>N13/4*1000/2</f>
        <v>5726.6999999999989</v>
      </c>
      <c r="T13" s="476"/>
      <c r="U13" s="476"/>
      <c r="V13" s="473"/>
      <c r="W13" s="476"/>
      <c r="X13" s="471"/>
      <c r="Y13" s="471"/>
      <c r="Z13" s="471"/>
      <c r="AA13" s="472"/>
      <c r="AB13" s="472"/>
      <c r="AC13" s="473"/>
    </row>
    <row r="14" spans="1:29" ht="42.75" customHeight="1" x14ac:dyDescent="0.3">
      <c r="A14" s="440">
        <v>6</v>
      </c>
      <c r="B14" s="481" t="s">
        <v>589</v>
      </c>
      <c r="C14" s="482">
        <v>22</v>
      </c>
      <c r="D14" s="482"/>
      <c r="E14" s="479">
        <f>12726*C14*12/1000</f>
        <v>3359.6640000000002</v>
      </c>
      <c r="F14" s="483">
        <f>L14</f>
        <v>134.38656</v>
      </c>
      <c r="G14" s="483"/>
      <c r="H14" s="483"/>
      <c r="I14" s="483"/>
      <c r="J14" s="483"/>
      <c r="K14" s="483">
        <v>4</v>
      </c>
      <c r="L14" s="483">
        <f>E14*0.04</f>
        <v>134.38656</v>
      </c>
      <c r="M14" s="484">
        <v>0.15</v>
      </c>
      <c r="N14" s="463">
        <f t="shared" si="1"/>
        <v>503.94960000000003</v>
      </c>
      <c r="O14" s="485">
        <v>0</v>
      </c>
      <c r="P14" s="463">
        <v>333.2</v>
      </c>
      <c r="Q14" s="482"/>
      <c r="R14" s="455">
        <f>ROUND((E14+F14+P14+Q14+O14+N14),1)-0.1</f>
        <v>4331.0999999999995</v>
      </c>
      <c r="S14" s="466">
        <f>N14/4*1000/22</f>
        <v>5726.7000000000007</v>
      </c>
      <c r="T14" s="476"/>
      <c r="U14" s="476"/>
      <c r="V14" s="473"/>
      <c r="W14" s="476"/>
      <c r="X14" s="471"/>
      <c r="Y14" s="471"/>
      <c r="Z14" s="471"/>
      <c r="AA14" s="472"/>
      <c r="AB14" s="472"/>
      <c r="AC14" s="473"/>
    </row>
    <row r="15" spans="1:29" ht="45" customHeight="1" x14ac:dyDescent="0.35">
      <c r="A15" s="402"/>
      <c r="B15" s="866" t="s">
        <v>622</v>
      </c>
      <c r="C15" s="866"/>
      <c r="D15" s="866"/>
      <c r="E15" s="866"/>
      <c r="F15" s="866"/>
      <c r="G15" s="866"/>
      <c r="H15" s="866"/>
      <c r="I15" s="866"/>
      <c r="J15" s="866"/>
      <c r="K15" s="866"/>
      <c r="L15" s="866"/>
      <c r="M15" s="866"/>
      <c r="N15" s="866"/>
      <c r="O15" s="866"/>
      <c r="P15" s="866"/>
      <c r="Q15" s="866"/>
      <c r="R15" s="866"/>
      <c r="V15" s="434"/>
    </row>
    <row r="16" spans="1:29" ht="21.75" customHeight="1" x14ac:dyDescent="0.35">
      <c r="A16" s="402"/>
      <c r="B16" s="863" t="s">
        <v>623</v>
      </c>
      <c r="C16" s="863"/>
      <c r="D16" s="863"/>
      <c r="E16" s="863"/>
      <c r="F16" s="863"/>
      <c r="G16" s="863"/>
      <c r="H16" s="863"/>
      <c r="I16" s="863"/>
      <c r="J16" s="863"/>
      <c r="K16" s="863"/>
      <c r="L16" s="863"/>
      <c r="M16" s="486"/>
      <c r="N16" s="486"/>
      <c r="O16" s="486"/>
      <c r="P16" s="486"/>
      <c r="Q16" s="486"/>
      <c r="R16" s="486"/>
      <c r="V16" s="434"/>
    </row>
    <row r="17" spans="2:22" ht="23.85" customHeight="1" x14ac:dyDescent="0.35">
      <c r="B17" s="397"/>
      <c r="C17" s="398"/>
      <c r="D17" s="399"/>
      <c r="E17" s="399"/>
      <c r="F17" s="399"/>
      <c r="G17" s="487"/>
      <c r="H17" s="398"/>
      <c r="I17" s="398"/>
      <c r="J17" s="398"/>
      <c r="K17" s="399"/>
      <c r="L17" s="398"/>
      <c r="M17" s="398"/>
      <c r="N17" s="398"/>
      <c r="O17" s="399"/>
      <c r="P17" s="398"/>
      <c r="Q17" s="399"/>
      <c r="R17" s="399"/>
      <c r="V17" s="434"/>
    </row>
    <row r="18" spans="2:22" ht="16.5" customHeight="1" x14ac:dyDescent="0.2"/>
    <row r="19" spans="2:22" ht="16.5" customHeight="1" x14ac:dyDescent="0.2"/>
    <row r="20" spans="2:22" ht="17.25" customHeight="1" x14ac:dyDescent="0.2"/>
    <row r="21" spans="2:22" ht="17.25" customHeight="1" x14ac:dyDescent="0.35">
      <c r="B21" s="397" t="s">
        <v>624</v>
      </c>
      <c r="C21" s="398"/>
      <c r="D21" s="399"/>
      <c r="E21" s="399"/>
      <c r="F21" s="399"/>
      <c r="G21" s="487"/>
      <c r="H21" s="398"/>
      <c r="I21" s="398"/>
      <c r="J21" s="398"/>
      <c r="K21" s="399"/>
      <c r="L21" s="398"/>
      <c r="M21" s="398"/>
      <c r="N21" s="398"/>
      <c r="O21" s="399"/>
      <c r="P21" s="398" t="s">
        <v>86</v>
      </c>
      <c r="Q21" s="399"/>
    </row>
    <row r="22" spans="2:22" ht="17.25" customHeight="1" x14ac:dyDescent="0.2"/>
    <row r="23" spans="2:22" ht="17.25" customHeight="1" x14ac:dyDescent="0.2"/>
    <row r="24" spans="2:22" ht="17.25" customHeight="1" x14ac:dyDescent="0.2"/>
    <row r="25" spans="2:22" ht="17.25" customHeight="1" x14ac:dyDescent="0.2"/>
    <row r="26" spans="2:22" ht="17.25" customHeight="1" x14ac:dyDescent="0.2"/>
    <row r="27" spans="2:22" ht="17.25" customHeight="1" x14ac:dyDescent="0.2"/>
    <row r="28" spans="2:22" ht="17.25" customHeight="1" x14ac:dyDescent="0.2"/>
    <row r="29" spans="2:22" ht="17.25" customHeight="1" x14ac:dyDescent="0.2"/>
    <row r="30" spans="2:22" ht="17.25" customHeight="1" x14ac:dyDescent="0.2"/>
    <row r="31" spans="2:22" ht="17.25" customHeight="1" x14ac:dyDescent="0.2"/>
    <row r="32" spans="2:22" ht="17.25" customHeight="1" x14ac:dyDescent="0.2"/>
    <row r="33" ht="17.25" customHeight="1" x14ac:dyDescent="0.2"/>
    <row r="34" ht="17.25" customHeight="1" x14ac:dyDescent="0.2"/>
    <row r="35" ht="17.25" customHeight="1" x14ac:dyDescent="0.2"/>
    <row r="36" ht="17.25" customHeight="1" x14ac:dyDescent="0.2"/>
    <row r="37" ht="17.25" customHeight="1" x14ac:dyDescent="0.2"/>
    <row r="38" ht="17.25" customHeight="1" x14ac:dyDescent="0.2"/>
    <row r="39" ht="17.25" customHeight="1" x14ac:dyDescent="0.2"/>
    <row r="40" ht="17.25" customHeight="1" x14ac:dyDescent="0.2"/>
    <row r="41" ht="17.25" customHeight="1" x14ac:dyDescent="0.2"/>
    <row r="42" ht="17.25" customHeight="1" x14ac:dyDescent="0.2"/>
    <row r="43" ht="17.25" customHeight="1" x14ac:dyDescent="0.2"/>
    <row r="44" ht="17.25" customHeight="1" x14ac:dyDescent="0.2"/>
    <row r="45" ht="17.25" customHeight="1" x14ac:dyDescent="0.2"/>
    <row r="46" ht="17.25" customHeight="1" x14ac:dyDescent="0.2"/>
    <row r="47" ht="17.25" customHeight="1" x14ac:dyDescent="0.2"/>
    <row r="48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  <row r="57" ht="17.25" customHeight="1" x14ac:dyDescent="0.2"/>
    <row r="58" ht="17.25" customHeight="1" x14ac:dyDescent="0.2"/>
    <row r="59" ht="17.25" customHeight="1" x14ac:dyDescent="0.2"/>
    <row r="60" ht="17.25" customHeight="1" x14ac:dyDescent="0.2"/>
    <row r="61" ht="17.25" customHeight="1" x14ac:dyDescent="0.2"/>
    <row r="62" ht="17.25" customHeight="1" x14ac:dyDescent="0.2"/>
    <row r="63" ht="17.25" customHeight="1" x14ac:dyDescent="0.2"/>
    <row r="64" ht="17.25" customHeight="1" x14ac:dyDescent="0.2"/>
    <row r="65" ht="17.25" customHeight="1" x14ac:dyDescent="0.2"/>
    <row r="66" ht="17.25" customHeight="1" x14ac:dyDescent="0.2"/>
    <row r="67" ht="17.25" customHeight="1" x14ac:dyDescent="0.2"/>
    <row r="68" ht="17.25" customHeight="1" x14ac:dyDescent="0.2"/>
    <row r="69" ht="17.25" customHeight="1" x14ac:dyDescent="0.2"/>
    <row r="70" ht="17.25" customHeight="1" x14ac:dyDescent="0.2"/>
    <row r="71" ht="17.25" customHeight="1" x14ac:dyDescent="0.2"/>
    <row r="72" ht="17.25" customHeight="1" x14ac:dyDescent="0.2"/>
    <row r="73" ht="17.25" customHeight="1" x14ac:dyDescent="0.2"/>
    <row r="74" ht="17.25" customHeight="1" x14ac:dyDescent="0.2"/>
    <row r="75" ht="17.25" customHeight="1" x14ac:dyDescent="0.2"/>
    <row r="76" ht="17.25" customHeight="1" x14ac:dyDescent="0.2"/>
    <row r="77" ht="17.25" customHeight="1" x14ac:dyDescent="0.2"/>
    <row r="78" ht="17.25" customHeight="1" x14ac:dyDescent="0.2"/>
    <row r="79" ht="17.25" customHeight="1" x14ac:dyDescent="0.2"/>
    <row r="80" ht="17.25" customHeight="1" x14ac:dyDescent="0.2"/>
    <row r="81" ht="17.25" customHeight="1" x14ac:dyDescent="0.2"/>
    <row r="82" ht="17.25" customHeight="1" x14ac:dyDescent="0.2"/>
    <row r="83" ht="17.25" customHeight="1" x14ac:dyDescent="0.2"/>
    <row r="84" ht="17.25" customHeight="1" x14ac:dyDescent="0.2"/>
    <row r="85" ht="17.25" customHeight="1" x14ac:dyDescent="0.2"/>
    <row r="86" ht="17.25" customHeight="1" x14ac:dyDescent="0.2"/>
    <row r="87" ht="17.25" customHeight="1" x14ac:dyDescent="0.2"/>
    <row r="88" ht="17.25" customHeight="1" x14ac:dyDescent="0.2"/>
    <row r="89" ht="17.25" customHeight="1" x14ac:dyDescent="0.2"/>
    <row r="90" ht="17.25" customHeight="1" x14ac:dyDescent="0.2"/>
    <row r="91" ht="17.25" customHeight="1" x14ac:dyDescent="0.2"/>
    <row r="92" ht="17.25" customHeight="1" x14ac:dyDescent="0.2"/>
    <row r="93" ht="17.25" customHeight="1" x14ac:dyDescent="0.2"/>
    <row r="94" ht="17.25" customHeight="1" x14ac:dyDescent="0.2"/>
    <row r="95" ht="17.25" customHeight="1" x14ac:dyDescent="0.2"/>
    <row r="96" ht="17.25" customHeight="1" x14ac:dyDescent="0.2"/>
    <row r="97" ht="17.25" customHeight="1" x14ac:dyDescent="0.2"/>
    <row r="98" ht="17.25" customHeight="1" x14ac:dyDescent="0.2"/>
    <row r="99" ht="17.25" customHeight="1" x14ac:dyDescent="0.2"/>
    <row r="100" ht="17.25" customHeight="1" x14ac:dyDescent="0.2"/>
    <row r="101" ht="17.25" customHeight="1" x14ac:dyDescent="0.2"/>
    <row r="102" ht="17.25" customHeight="1" x14ac:dyDescent="0.2"/>
    <row r="103" ht="17.25" customHeight="1" x14ac:dyDescent="0.2"/>
    <row r="104" ht="17.25" customHeight="1" x14ac:dyDescent="0.2"/>
    <row r="105" ht="17.25" customHeight="1" x14ac:dyDescent="0.2"/>
    <row r="106" ht="17.25" customHeight="1" x14ac:dyDescent="0.2"/>
    <row r="107" ht="17.25" customHeight="1" x14ac:dyDescent="0.2"/>
    <row r="108" ht="17.25" customHeight="1" x14ac:dyDescent="0.2"/>
    <row r="109" ht="17.25" customHeight="1" x14ac:dyDescent="0.2"/>
    <row r="110" ht="17.25" customHeight="1" x14ac:dyDescent="0.2"/>
    <row r="111" ht="17.25" customHeight="1" x14ac:dyDescent="0.2"/>
    <row r="112" ht="17.25" customHeight="1" x14ac:dyDescent="0.2"/>
    <row r="113" ht="17.25" customHeight="1" x14ac:dyDescent="0.2"/>
    <row r="114" ht="17.25" customHeight="1" x14ac:dyDescent="0.2"/>
    <row r="115" ht="17.25" customHeight="1" x14ac:dyDescent="0.2"/>
    <row r="116" ht="17.25" customHeight="1" x14ac:dyDescent="0.2"/>
    <row r="117" ht="17.25" customHeight="1" x14ac:dyDescent="0.2"/>
    <row r="118" ht="17.25" customHeight="1" x14ac:dyDescent="0.2"/>
    <row r="119" ht="17.25" customHeight="1" x14ac:dyDescent="0.2"/>
    <row r="120" ht="17.25" customHeight="1" x14ac:dyDescent="0.2"/>
    <row r="121" ht="17.25" customHeight="1" x14ac:dyDescent="0.2"/>
    <row r="122" ht="17.25" customHeight="1" x14ac:dyDescent="0.2"/>
    <row r="123" ht="17.25" customHeight="1" x14ac:dyDescent="0.2"/>
    <row r="124" ht="17.25" customHeight="1" x14ac:dyDescent="0.2"/>
    <row r="125" ht="17.25" customHeight="1" x14ac:dyDescent="0.2"/>
    <row r="126" ht="17.25" customHeight="1" x14ac:dyDescent="0.2"/>
    <row r="127" ht="17.25" customHeight="1" x14ac:dyDescent="0.2"/>
    <row r="128" ht="17.25" customHeight="1" x14ac:dyDescent="0.2"/>
    <row r="129" ht="17.25" customHeight="1" x14ac:dyDescent="0.2"/>
    <row r="130" ht="17.25" customHeight="1" x14ac:dyDescent="0.2"/>
    <row r="131" ht="17.25" customHeight="1" x14ac:dyDescent="0.2"/>
    <row r="132" ht="17.25" customHeight="1" x14ac:dyDescent="0.2"/>
    <row r="133" ht="17.25" customHeight="1" x14ac:dyDescent="0.2"/>
    <row r="134" ht="17.25" customHeight="1" x14ac:dyDescent="0.2"/>
    <row r="135" ht="17.25" customHeight="1" x14ac:dyDescent="0.2"/>
    <row r="136" ht="17.25" customHeight="1" x14ac:dyDescent="0.2"/>
    <row r="137" ht="17.25" customHeight="1" x14ac:dyDescent="0.2"/>
    <row r="138" ht="17.25" customHeight="1" x14ac:dyDescent="0.2"/>
    <row r="139" ht="17.25" customHeight="1" x14ac:dyDescent="0.2"/>
    <row r="140" ht="17.25" customHeight="1" x14ac:dyDescent="0.2"/>
    <row r="141" ht="17.25" customHeight="1" x14ac:dyDescent="0.2"/>
    <row r="142" ht="17.25" customHeight="1" x14ac:dyDescent="0.2"/>
    <row r="143" ht="17.25" customHeight="1" x14ac:dyDescent="0.2"/>
    <row r="144" ht="17.25" customHeight="1" x14ac:dyDescent="0.2"/>
    <row r="145" ht="17.25" customHeight="1" x14ac:dyDescent="0.2"/>
    <row r="146" ht="17.25" customHeight="1" x14ac:dyDescent="0.2"/>
    <row r="147" ht="17.25" customHeight="1" x14ac:dyDescent="0.2"/>
    <row r="148" ht="17.25" customHeight="1" x14ac:dyDescent="0.2"/>
    <row r="149" ht="17.25" customHeight="1" x14ac:dyDescent="0.2"/>
    <row r="150" ht="17.25" customHeight="1" x14ac:dyDescent="0.2"/>
    <row r="151" ht="17.25" customHeight="1" x14ac:dyDescent="0.2"/>
    <row r="152" ht="17.25" customHeight="1" x14ac:dyDescent="0.2"/>
    <row r="153" ht="17.25" customHeight="1" x14ac:dyDescent="0.2"/>
    <row r="154" ht="17.25" customHeight="1" x14ac:dyDescent="0.2"/>
    <row r="155" ht="17.2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</sheetData>
  <mergeCells count="22">
    <mergeCell ref="B16:L16"/>
    <mergeCell ref="I5:J5"/>
    <mergeCell ref="K5:L5"/>
    <mergeCell ref="M5:M6"/>
    <mergeCell ref="N5:N6"/>
    <mergeCell ref="B15:R15"/>
    <mergeCell ref="O1:R1"/>
    <mergeCell ref="A2:R2"/>
    <mergeCell ref="A3:A6"/>
    <mergeCell ref="B3:B6"/>
    <mergeCell ref="C3:D4"/>
    <mergeCell ref="E3:E6"/>
    <mergeCell ref="F3:P3"/>
    <mergeCell ref="Q3:Q6"/>
    <mergeCell ref="R3:R6"/>
    <mergeCell ref="F4:L4"/>
    <mergeCell ref="M4:N4"/>
    <mergeCell ref="O4:O6"/>
    <mergeCell ref="P4:P6"/>
    <mergeCell ref="C5:C6"/>
    <mergeCell ref="F5:F6"/>
    <mergeCell ref="G5:H5"/>
  </mergeCells>
  <printOptions horizontalCentered="1"/>
  <pageMargins left="0.25" right="0.25" top="0.75" bottom="0.75" header="0.51180555555555496" footer="0.51180555555555496"/>
  <pageSetup paperSize="9" scale="50" firstPageNumber="0" orientation="landscape" horizontalDpi="300" verticalDpi="300" r:id="rId1"/>
  <colBreaks count="1" manualBreakCount="1">
    <brk id="1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99"/>
    <pageSetUpPr fitToPage="1"/>
  </sheetPr>
  <dimension ref="A1:Z997"/>
  <sheetViews>
    <sheetView view="pageBreakPreview" topLeftCell="A11" zoomScale="75" zoomScaleNormal="87" zoomScalePageLayoutView="75" workbookViewId="0">
      <selection activeCell="V29" sqref="V29"/>
    </sheetView>
  </sheetViews>
  <sheetFormatPr defaultRowHeight="12.75" x14ac:dyDescent="0.2"/>
  <cols>
    <col min="1" max="1" width="37.140625" customWidth="1"/>
    <col min="2" max="2" width="13.140625" customWidth="1"/>
    <col min="3" max="3" width="5.28515625" customWidth="1"/>
    <col min="4" max="4" width="10" hidden="1" customWidth="1"/>
    <col min="5" max="5" width="26" customWidth="1"/>
    <col min="6" max="6" width="25.85546875" customWidth="1"/>
    <col min="7" max="7" width="18.7109375" customWidth="1"/>
    <col min="8" max="8" width="16" customWidth="1"/>
    <col min="9" max="9" width="21.85546875" customWidth="1"/>
    <col min="10" max="10" width="2.42578125" customWidth="1"/>
    <col min="11" max="11" width="7" customWidth="1"/>
    <col min="12" max="12" width="17.7109375" customWidth="1"/>
    <col min="13" max="13" width="8.140625" customWidth="1"/>
    <col min="14" max="14" width="20.140625" customWidth="1"/>
    <col min="15" max="23" width="8.85546875" customWidth="1"/>
    <col min="24" max="25" width="7.7109375" customWidth="1"/>
    <col min="26" max="26" width="14" customWidth="1"/>
    <col min="27" max="1025" width="12.140625" customWidth="1"/>
  </cols>
  <sheetData>
    <row r="1" spans="1:25" ht="18.75" x14ac:dyDescent="0.2">
      <c r="A1" s="867" t="s">
        <v>625</v>
      </c>
      <c r="B1" s="867"/>
      <c r="C1" s="867"/>
      <c r="D1" s="867"/>
      <c r="E1" s="867"/>
      <c r="F1" s="867"/>
      <c r="G1" s="867"/>
      <c r="H1" s="867"/>
      <c r="I1" s="867"/>
      <c r="J1" s="867"/>
      <c r="K1" s="867"/>
      <c r="L1" s="867"/>
      <c r="M1" s="867"/>
      <c r="N1" s="867"/>
      <c r="O1" s="65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18.75" customHeight="1" x14ac:dyDescent="0.2">
      <c r="A2" s="792" t="s">
        <v>885</v>
      </c>
      <c r="B2" s="867"/>
      <c r="C2" s="867"/>
      <c r="D2" s="867"/>
      <c r="E2" s="867"/>
      <c r="F2" s="867"/>
      <c r="G2" s="867"/>
      <c r="H2" s="867"/>
      <c r="I2" s="867"/>
      <c r="J2" s="867"/>
      <c r="K2" s="867"/>
      <c r="L2" s="867"/>
      <c r="M2" s="867"/>
      <c r="N2" s="867"/>
      <c r="O2" s="650"/>
      <c r="P2" s="10"/>
      <c r="Q2" s="10"/>
      <c r="R2" s="10"/>
      <c r="S2" s="10"/>
      <c r="T2" s="10"/>
      <c r="U2" s="10"/>
      <c r="V2" s="10"/>
      <c r="W2" s="10"/>
      <c r="X2" s="10"/>
      <c r="Y2" s="10"/>
    </row>
    <row r="3" spans="1:25" ht="18.75" x14ac:dyDescent="0.2">
      <c r="A3" s="868" t="s">
        <v>626</v>
      </c>
      <c r="B3" s="868"/>
      <c r="C3" s="868"/>
      <c r="D3" s="868"/>
      <c r="E3" s="868"/>
      <c r="F3" s="868"/>
      <c r="G3" s="868"/>
      <c r="H3" s="868"/>
      <c r="I3" s="868"/>
      <c r="J3" s="868"/>
      <c r="K3" s="868"/>
      <c r="L3" s="868"/>
      <c r="M3" s="868"/>
      <c r="N3" s="868"/>
      <c r="O3" s="650"/>
      <c r="P3" s="10"/>
      <c r="Q3" s="869"/>
      <c r="R3" s="869"/>
      <c r="S3" s="10"/>
      <c r="T3" s="10"/>
      <c r="U3" s="10"/>
      <c r="V3" s="10"/>
      <c r="W3" s="10"/>
      <c r="X3" s="10"/>
      <c r="Y3" s="10"/>
    </row>
    <row r="4" spans="1:25" ht="18.75" customHeight="1" x14ac:dyDescent="0.2">
      <c r="A4" s="870" t="s">
        <v>627</v>
      </c>
      <c r="B4" s="870"/>
      <c r="C4" s="870"/>
      <c r="D4" s="870"/>
      <c r="E4" s="870"/>
      <c r="F4" s="870"/>
      <c r="G4" s="870"/>
      <c r="H4" s="870"/>
      <c r="I4" s="870"/>
      <c r="J4" s="870"/>
      <c r="K4" s="870"/>
      <c r="L4" s="870"/>
      <c r="M4" s="870"/>
      <c r="N4" s="870"/>
      <c r="O4" s="650"/>
      <c r="P4" s="10"/>
      <c r="Q4" s="869"/>
      <c r="R4" s="869"/>
      <c r="S4" s="10"/>
      <c r="T4" s="10"/>
      <c r="U4" s="10"/>
      <c r="V4" s="10"/>
      <c r="W4" s="10"/>
      <c r="X4" s="10"/>
      <c r="Y4" s="10"/>
    </row>
    <row r="5" spans="1:25" ht="34.5" customHeight="1" x14ac:dyDescent="0.2">
      <c r="A5" s="871" t="s">
        <v>628</v>
      </c>
      <c r="B5" s="871"/>
      <c r="C5" s="871"/>
      <c r="D5" s="871"/>
      <c r="E5" s="871"/>
      <c r="F5" s="871"/>
      <c r="G5" s="871"/>
      <c r="H5" s="871"/>
      <c r="I5" s="871"/>
      <c r="J5" s="871"/>
      <c r="K5" s="871"/>
      <c r="L5" s="871"/>
      <c r="M5" s="871"/>
      <c r="N5" s="871"/>
      <c r="O5" s="65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ht="57.75" customHeight="1" x14ac:dyDescent="0.2">
      <c r="A6" s="872" t="s">
        <v>36</v>
      </c>
      <c r="B6" s="872"/>
      <c r="C6" s="872"/>
      <c r="D6" s="794" t="s">
        <v>865</v>
      </c>
      <c r="E6" s="828"/>
      <c r="F6" s="1" t="s">
        <v>866</v>
      </c>
      <c r="G6" s="794" t="s">
        <v>867</v>
      </c>
      <c r="H6" s="828"/>
      <c r="I6" s="794" t="s">
        <v>868</v>
      </c>
      <c r="J6" s="828"/>
      <c r="K6" s="828" t="s">
        <v>629</v>
      </c>
      <c r="L6" s="828"/>
      <c r="M6" s="828" t="s">
        <v>630</v>
      </c>
      <c r="N6" s="828"/>
      <c r="O6" s="650"/>
      <c r="P6" s="10"/>
      <c r="Q6" s="869"/>
      <c r="R6" s="869"/>
      <c r="S6" s="10"/>
      <c r="T6" s="10"/>
      <c r="U6" s="10"/>
      <c r="V6" s="10"/>
      <c r="W6" s="10"/>
      <c r="X6" s="10"/>
      <c r="Y6" s="10"/>
    </row>
    <row r="7" spans="1:25" ht="18.75" x14ac:dyDescent="0.2">
      <c r="A7" s="872">
        <v>1</v>
      </c>
      <c r="B7" s="872"/>
      <c r="C7" s="872"/>
      <c r="D7" s="828">
        <v>2</v>
      </c>
      <c r="E7" s="828"/>
      <c r="F7" s="627">
        <v>3</v>
      </c>
      <c r="G7" s="828">
        <v>4</v>
      </c>
      <c r="H7" s="828"/>
      <c r="I7" s="828">
        <v>5</v>
      </c>
      <c r="J7" s="828"/>
      <c r="K7" s="828">
        <v>6</v>
      </c>
      <c r="L7" s="828"/>
      <c r="M7" s="828">
        <v>7</v>
      </c>
      <c r="N7" s="828"/>
      <c r="O7" s="650"/>
      <c r="P7" s="10"/>
      <c r="Q7" s="873"/>
      <c r="R7" s="873"/>
      <c r="S7" s="10"/>
      <c r="T7" s="10"/>
      <c r="U7" s="10"/>
      <c r="V7" s="10"/>
      <c r="W7" s="10"/>
      <c r="X7" s="10"/>
      <c r="Y7" s="10"/>
    </row>
    <row r="8" spans="1:25" ht="35.25" customHeight="1" x14ac:dyDescent="0.3">
      <c r="A8" s="874" t="s">
        <v>631</v>
      </c>
      <c r="B8" s="874"/>
      <c r="C8" s="874"/>
      <c r="D8" s="875">
        <f>D10+D11+D9</f>
        <v>30.1</v>
      </c>
      <c r="E8" s="875"/>
      <c r="F8" s="694">
        <f>SUM(F9:F11)</f>
        <v>30.1</v>
      </c>
      <c r="G8" s="876">
        <v>28</v>
      </c>
      <c r="H8" s="876"/>
      <c r="I8" s="877">
        <f>I10+I11</f>
        <v>28</v>
      </c>
      <c r="J8" s="877"/>
      <c r="K8" s="878">
        <f>I8/G8</f>
        <v>1</v>
      </c>
      <c r="L8" s="878"/>
      <c r="M8" s="879">
        <f>I8/F8</f>
        <v>0.93023255813953487</v>
      </c>
      <c r="N8" s="879"/>
      <c r="O8" s="650"/>
      <c r="P8" s="880"/>
      <c r="Q8" s="880"/>
      <c r="R8" s="880"/>
      <c r="S8" s="880"/>
      <c r="T8" s="880"/>
      <c r="U8" s="880"/>
      <c r="V8" s="880"/>
      <c r="W8" s="10"/>
      <c r="X8" s="10"/>
      <c r="Y8" s="10"/>
    </row>
    <row r="9" spans="1:25" ht="18.75" customHeight="1" x14ac:dyDescent="0.3">
      <c r="A9" s="881" t="s">
        <v>632</v>
      </c>
      <c r="B9" s="881"/>
      <c r="C9" s="881"/>
      <c r="D9" s="882"/>
      <c r="E9" s="883"/>
      <c r="F9" s="695"/>
      <c r="G9" s="884"/>
      <c r="H9" s="884"/>
      <c r="I9" s="884" t="s">
        <v>366</v>
      </c>
      <c r="J9" s="884"/>
      <c r="K9" s="878" t="s">
        <v>366</v>
      </c>
      <c r="L9" s="878"/>
      <c r="M9" s="879" t="s">
        <v>366</v>
      </c>
      <c r="N9" s="879"/>
      <c r="O9" s="650"/>
      <c r="P9" s="885"/>
      <c r="Q9" s="885"/>
      <c r="R9" s="885"/>
      <c r="S9" s="885"/>
      <c r="T9" s="885"/>
      <c r="U9" s="885"/>
      <c r="V9" s="885"/>
      <c r="W9" s="10"/>
      <c r="X9" s="10"/>
      <c r="Y9" s="10"/>
    </row>
    <row r="10" spans="1:25" ht="45" customHeight="1" x14ac:dyDescent="0.3">
      <c r="A10" s="881" t="s">
        <v>633</v>
      </c>
      <c r="B10" s="881"/>
      <c r="C10" s="881"/>
      <c r="D10" s="886">
        <v>2.1</v>
      </c>
      <c r="E10" s="887"/>
      <c r="F10" s="695">
        <v>2.1</v>
      </c>
      <c r="G10" s="888">
        <v>2</v>
      </c>
      <c r="H10" s="888"/>
      <c r="I10" s="889">
        <v>2</v>
      </c>
      <c r="J10" s="889"/>
      <c r="K10" s="878">
        <f>I10/G10</f>
        <v>1</v>
      </c>
      <c r="L10" s="878"/>
      <c r="M10" s="879">
        <f>I10/F10</f>
        <v>0.95238095238095233</v>
      </c>
      <c r="N10" s="879"/>
      <c r="O10" s="650"/>
      <c r="P10" s="890"/>
      <c r="Q10" s="890"/>
      <c r="R10" s="890"/>
      <c r="S10" s="890"/>
      <c r="T10" s="890"/>
      <c r="U10" s="890"/>
      <c r="W10" s="10"/>
      <c r="X10" s="10"/>
      <c r="Y10" s="10"/>
    </row>
    <row r="11" spans="1:25" ht="18" customHeight="1" x14ac:dyDescent="0.3">
      <c r="A11" s="881" t="s">
        <v>634</v>
      </c>
      <c r="B11" s="881"/>
      <c r="C11" s="881"/>
      <c r="D11" s="891">
        <v>28</v>
      </c>
      <c r="E11" s="892"/>
      <c r="F11" s="696">
        <v>28</v>
      </c>
      <c r="G11" s="889">
        <v>26</v>
      </c>
      <c r="H11" s="889"/>
      <c r="I11" s="893">
        <v>26</v>
      </c>
      <c r="J11" s="893"/>
      <c r="K11" s="878">
        <f>I11/G11</f>
        <v>1</v>
      </c>
      <c r="L11" s="878"/>
      <c r="M11" s="879">
        <f>I11/F11</f>
        <v>0.9285714285714286</v>
      </c>
      <c r="N11" s="879"/>
      <c r="O11" s="650"/>
      <c r="P11" s="489"/>
      <c r="S11" s="10"/>
      <c r="W11" s="10"/>
      <c r="X11" s="10"/>
      <c r="Y11" s="10"/>
    </row>
    <row r="12" spans="1:25" ht="43.15" customHeight="1" x14ac:dyDescent="0.3">
      <c r="A12" s="874" t="s">
        <v>635</v>
      </c>
      <c r="B12" s="874"/>
      <c r="C12" s="874"/>
      <c r="D12" s="894">
        <f>SUM(D13:E15)</f>
        <v>5962.4</v>
      </c>
      <c r="E12" s="894"/>
      <c r="F12" s="698">
        <f>F14+F15</f>
        <v>5652.6</v>
      </c>
      <c r="G12" s="895">
        <f>SUM(G15+G14)</f>
        <v>5368.6</v>
      </c>
      <c r="H12" s="895"/>
      <c r="I12" s="896">
        <f>I14+I15</f>
        <v>5896.6</v>
      </c>
      <c r="J12" s="896"/>
      <c r="K12" s="878">
        <f>I12/G12</f>
        <v>1.0983496628543754</v>
      </c>
      <c r="L12" s="878"/>
      <c r="M12" s="879">
        <f>I12/F12</f>
        <v>1.0431659767186781</v>
      </c>
      <c r="N12" s="879"/>
      <c r="O12" s="650"/>
      <c r="P12" s="10"/>
      <c r="Q12" s="488"/>
      <c r="R12" s="488"/>
      <c r="S12" s="10"/>
      <c r="T12" s="10"/>
      <c r="U12" s="10"/>
      <c r="V12" s="10"/>
      <c r="W12" s="10"/>
      <c r="X12" s="10"/>
      <c r="Y12" s="10"/>
    </row>
    <row r="13" spans="1:25" ht="18.75" customHeight="1" x14ac:dyDescent="0.3">
      <c r="A13" s="881" t="s">
        <v>632</v>
      </c>
      <c r="B13" s="881"/>
      <c r="C13" s="881"/>
      <c r="D13" s="897"/>
      <c r="E13" s="897"/>
      <c r="F13" s="699"/>
      <c r="G13" s="889" t="s">
        <v>366</v>
      </c>
      <c r="H13" s="889"/>
      <c r="I13" s="898" t="s">
        <v>366</v>
      </c>
      <c r="J13" s="898"/>
      <c r="K13" s="878" t="s">
        <v>366</v>
      </c>
      <c r="L13" s="878"/>
      <c r="M13" s="879" t="s">
        <v>366</v>
      </c>
      <c r="N13" s="879"/>
      <c r="O13" s="650"/>
      <c r="P13" s="10"/>
      <c r="Q13" s="490"/>
      <c r="R13" s="490"/>
      <c r="S13" s="490"/>
      <c r="T13" s="490"/>
      <c r="U13" s="491"/>
      <c r="V13" s="490"/>
      <c r="W13" s="10"/>
      <c r="X13" s="10"/>
      <c r="Y13" s="10"/>
    </row>
    <row r="14" spans="1:25" ht="18.75" customHeight="1" x14ac:dyDescent="0.3">
      <c r="A14" s="881" t="s">
        <v>633</v>
      </c>
      <c r="B14" s="881"/>
      <c r="C14" s="881"/>
      <c r="D14" s="899">
        <v>618.4</v>
      </c>
      <c r="E14" s="899"/>
      <c r="F14" s="699">
        <v>634.6</v>
      </c>
      <c r="G14" s="900">
        <v>602.6</v>
      </c>
      <c r="H14" s="900"/>
      <c r="I14" s="898">
        <v>661.1</v>
      </c>
      <c r="J14" s="898"/>
      <c r="K14" s="878">
        <f>I14/G14</f>
        <v>1.0970793229339528</v>
      </c>
      <c r="L14" s="878"/>
      <c r="M14" s="879">
        <f>I14/F14</f>
        <v>1.041758588086984</v>
      </c>
      <c r="N14" s="879"/>
      <c r="O14" s="650"/>
      <c r="P14" s="10"/>
      <c r="Q14" s="488"/>
      <c r="R14" s="488"/>
      <c r="S14" s="10"/>
      <c r="T14" s="10"/>
      <c r="U14" s="10"/>
      <c r="V14" s="10"/>
      <c r="W14" s="10"/>
      <c r="X14" s="10"/>
      <c r="Y14" s="10"/>
    </row>
    <row r="15" spans="1:25" ht="18.75" customHeight="1" x14ac:dyDescent="0.3">
      <c r="A15" s="881" t="s">
        <v>634</v>
      </c>
      <c r="B15" s="881"/>
      <c r="C15" s="881"/>
      <c r="D15" s="897">
        <v>5344</v>
      </c>
      <c r="E15" s="897"/>
      <c r="F15" s="699">
        <v>5018</v>
      </c>
      <c r="G15" s="889">
        <v>4766</v>
      </c>
      <c r="H15" s="889"/>
      <c r="I15" s="898">
        <v>5235.5</v>
      </c>
      <c r="J15" s="898"/>
      <c r="K15" s="878">
        <f>I15/G15</f>
        <v>1.0985102811582039</v>
      </c>
      <c r="L15" s="878"/>
      <c r="M15" s="879">
        <f>I15/F15</f>
        <v>1.043343961737744</v>
      </c>
      <c r="N15" s="879"/>
      <c r="O15" s="650"/>
      <c r="P15" s="10"/>
      <c r="Q15" s="492"/>
      <c r="R15" s="492"/>
      <c r="S15" s="10"/>
      <c r="T15" s="10"/>
      <c r="U15" s="10"/>
      <c r="V15" s="10"/>
      <c r="W15" s="10"/>
      <c r="X15" s="10"/>
      <c r="Y15" s="10"/>
    </row>
    <row r="16" spans="1:25" ht="37.9" customHeight="1" x14ac:dyDescent="0.3">
      <c r="A16" s="874" t="s">
        <v>636</v>
      </c>
      <c r="B16" s="874"/>
      <c r="C16" s="874"/>
      <c r="D16" s="894">
        <f>SUM(D17:D19)</f>
        <v>5962.4</v>
      </c>
      <c r="E16" s="894"/>
      <c r="F16" s="698">
        <f>SUM(F17:F19)</f>
        <v>5652.6</v>
      </c>
      <c r="G16" s="895">
        <f>G18+G19</f>
        <v>5368.6</v>
      </c>
      <c r="H16" s="895"/>
      <c r="I16" s="896">
        <f>I18+I19</f>
        <v>5896.6</v>
      </c>
      <c r="J16" s="896"/>
      <c r="K16" s="878">
        <f>I16/G16</f>
        <v>1.0983496628543754</v>
      </c>
      <c r="L16" s="878"/>
      <c r="M16" s="879">
        <f>I16/F16</f>
        <v>1.0431659767186781</v>
      </c>
      <c r="N16" s="879"/>
      <c r="O16" s="650"/>
      <c r="P16" s="489"/>
      <c r="Q16" s="489"/>
      <c r="R16" s="489"/>
      <c r="S16" s="10"/>
      <c r="T16" s="10"/>
      <c r="U16" s="10"/>
      <c r="V16" s="10"/>
      <c r="W16" s="10"/>
      <c r="X16" s="10"/>
      <c r="Y16" s="10"/>
    </row>
    <row r="17" spans="1:25" ht="18.75" customHeight="1" x14ac:dyDescent="0.3">
      <c r="A17" s="881" t="s">
        <v>580</v>
      </c>
      <c r="B17" s="881"/>
      <c r="C17" s="881"/>
      <c r="D17" s="897"/>
      <c r="E17" s="897"/>
      <c r="F17" s="699"/>
      <c r="G17" s="889"/>
      <c r="H17" s="889"/>
      <c r="I17" s="889" t="str">
        <f>I13</f>
        <v>-</v>
      </c>
      <c r="J17" s="889"/>
      <c r="K17" s="878" t="s">
        <v>366</v>
      </c>
      <c r="L17" s="878"/>
      <c r="M17" s="879" t="s">
        <v>366</v>
      </c>
      <c r="N17" s="879"/>
      <c r="O17" s="650"/>
      <c r="P17" s="489"/>
      <c r="Q17" s="489"/>
      <c r="R17" s="489"/>
      <c r="S17" s="10"/>
      <c r="T17" s="10"/>
      <c r="U17" s="10"/>
      <c r="V17" s="10"/>
      <c r="W17" s="10"/>
      <c r="X17" s="10"/>
      <c r="Y17" s="10"/>
    </row>
    <row r="18" spans="1:25" ht="18.75" customHeight="1" x14ac:dyDescent="0.3">
      <c r="A18" s="881" t="s">
        <v>637</v>
      </c>
      <c r="B18" s="881"/>
      <c r="C18" s="881"/>
      <c r="D18" s="897">
        <v>618.4</v>
      </c>
      <c r="E18" s="897"/>
      <c r="F18" s="699">
        <v>634.6</v>
      </c>
      <c r="G18" s="889">
        <v>602.6</v>
      </c>
      <c r="H18" s="889"/>
      <c r="I18" s="889">
        <f>I14</f>
        <v>661.1</v>
      </c>
      <c r="J18" s="889"/>
      <c r="K18" s="878">
        <f>I18/G18</f>
        <v>1.0970793229339528</v>
      </c>
      <c r="L18" s="878"/>
      <c r="M18" s="879">
        <f>I18/F18</f>
        <v>1.041758588086984</v>
      </c>
      <c r="N18" s="879"/>
      <c r="O18" s="650"/>
      <c r="P18" s="10"/>
      <c r="Q18" s="488"/>
      <c r="R18" s="488"/>
      <c r="S18" s="10"/>
      <c r="T18" s="10"/>
      <c r="U18" s="10"/>
      <c r="V18" s="10"/>
      <c r="W18" s="10"/>
      <c r="X18" s="10"/>
      <c r="Y18" s="10"/>
    </row>
    <row r="19" spans="1:25" ht="18.75" customHeight="1" x14ac:dyDescent="0.3">
      <c r="A19" s="881" t="s">
        <v>634</v>
      </c>
      <c r="B19" s="881"/>
      <c r="C19" s="881"/>
      <c r="D19" s="897">
        <v>5344</v>
      </c>
      <c r="E19" s="897"/>
      <c r="F19" s="699">
        <v>5018</v>
      </c>
      <c r="G19" s="889">
        <v>4766</v>
      </c>
      <c r="H19" s="889"/>
      <c r="I19" s="889">
        <f>I15</f>
        <v>5235.5</v>
      </c>
      <c r="J19" s="889"/>
      <c r="K19" s="878">
        <f>I19/G19</f>
        <v>1.0985102811582039</v>
      </c>
      <c r="L19" s="878"/>
      <c r="M19" s="879">
        <f>I19/F19</f>
        <v>1.043343961737744</v>
      </c>
      <c r="N19" s="879"/>
      <c r="O19" s="650"/>
      <c r="P19" s="10"/>
      <c r="Q19" s="873"/>
      <c r="R19" s="873"/>
      <c r="S19" s="54"/>
      <c r="T19" s="54"/>
      <c r="U19" s="493"/>
      <c r="V19" s="10"/>
      <c r="W19" s="10"/>
      <c r="X19" s="10"/>
      <c r="Y19" s="10"/>
    </row>
    <row r="20" spans="1:25" ht="38.85" customHeight="1" x14ac:dyDescent="0.3">
      <c r="A20" s="874" t="s">
        <v>638</v>
      </c>
      <c r="B20" s="874"/>
      <c r="C20" s="874"/>
      <c r="D20" s="894">
        <f>D12/D8/12*1000</f>
        <v>16507.198228128458</v>
      </c>
      <c r="E20" s="894"/>
      <c r="F20" s="700">
        <v>15649.5</v>
      </c>
      <c r="G20" s="895">
        <f>G24</f>
        <v>15977.976190476191</v>
      </c>
      <c r="H20" s="895"/>
      <c r="I20" s="895">
        <f>I12/I8/12*1000</f>
        <v>17549.404761904763</v>
      </c>
      <c r="J20" s="895"/>
      <c r="K20" s="878">
        <f>I20/G20</f>
        <v>1.0983496628543754</v>
      </c>
      <c r="L20" s="878"/>
      <c r="M20" s="879">
        <f>I20/F20</f>
        <v>1.1214035440049051</v>
      </c>
      <c r="N20" s="879"/>
      <c r="O20" s="650"/>
      <c r="P20" s="10"/>
      <c r="Q20" s="873"/>
      <c r="R20" s="873"/>
      <c r="S20" s="10"/>
      <c r="T20" s="10"/>
      <c r="U20" s="10"/>
      <c r="V20" s="10"/>
      <c r="W20" s="10"/>
      <c r="X20" s="10"/>
      <c r="Y20" s="10"/>
    </row>
    <row r="21" spans="1:25" ht="18.75" customHeight="1" x14ac:dyDescent="0.3">
      <c r="A21" s="881" t="s">
        <v>632</v>
      </c>
      <c r="B21" s="881"/>
      <c r="C21" s="881"/>
      <c r="D21" s="897"/>
      <c r="E21" s="897"/>
      <c r="F21" s="699"/>
      <c r="G21" s="889"/>
      <c r="H21" s="889"/>
      <c r="I21" s="889" t="s">
        <v>366</v>
      </c>
      <c r="J21" s="889"/>
      <c r="K21" s="878"/>
      <c r="L21" s="878"/>
      <c r="M21" s="879"/>
      <c r="N21" s="879"/>
      <c r="O21" s="650"/>
      <c r="P21" s="10"/>
      <c r="Q21" s="488"/>
      <c r="R21" s="488"/>
      <c r="S21" s="10"/>
      <c r="T21" s="10"/>
      <c r="U21" s="10"/>
      <c r="V21" s="10"/>
      <c r="W21" s="10"/>
      <c r="X21" s="10"/>
      <c r="Y21" s="10"/>
    </row>
    <row r="22" spans="1:25" ht="18.75" customHeight="1" x14ac:dyDescent="0.3">
      <c r="A22" s="881" t="s">
        <v>633</v>
      </c>
      <c r="B22" s="881"/>
      <c r="C22" s="881"/>
      <c r="D22" s="901">
        <f>D14/12/D10*1000</f>
        <v>24539.682539682537</v>
      </c>
      <c r="E22" s="902" t="e">
        <f t="shared" ref="D22:E23" si="0">E14/12/E10*1000</f>
        <v>#DIV/0!</v>
      </c>
      <c r="F22" s="697">
        <v>25182.5</v>
      </c>
      <c r="G22" s="889">
        <v>25111.3</v>
      </c>
      <c r="H22" s="889"/>
      <c r="I22" s="889">
        <f>I14/I10/12*1000</f>
        <v>27545.833333333336</v>
      </c>
      <c r="J22" s="889"/>
      <c r="K22" s="878">
        <f t="shared" ref="K22" si="1">I22/G22</f>
        <v>1.096949713210122</v>
      </c>
      <c r="L22" s="878"/>
      <c r="M22" s="879">
        <f t="shared" ref="M22" si="2">I22/F22</f>
        <v>1.0938482411727721</v>
      </c>
      <c r="N22" s="879"/>
      <c r="O22" s="650"/>
      <c r="P22" s="10"/>
      <c r="Q22" s="494"/>
      <c r="R22" s="494"/>
      <c r="S22" s="10"/>
      <c r="T22" s="10"/>
      <c r="U22" s="10"/>
      <c r="V22" s="10"/>
      <c r="W22" s="10"/>
      <c r="X22" s="10"/>
      <c r="Y22" s="10"/>
    </row>
    <row r="23" spans="1:25" ht="18.75" customHeight="1" x14ac:dyDescent="0.3">
      <c r="A23" s="881" t="s">
        <v>634</v>
      </c>
      <c r="B23" s="881"/>
      <c r="C23" s="881"/>
      <c r="D23" s="901">
        <f t="shared" si="0"/>
        <v>15904.761904761903</v>
      </c>
      <c r="E23" s="901" t="e">
        <f t="shared" si="0"/>
        <v>#DIV/0!</v>
      </c>
      <c r="F23" s="697">
        <v>14934.5</v>
      </c>
      <c r="G23" s="889">
        <v>15275.5</v>
      </c>
      <c r="H23" s="889"/>
      <c r="I23" s="889">
        <f>I15/I11/12*1000</f>
        <v>16780.448717948719</v>
      </c>
      <c r="J23" s="889"/>
      <c r="K23" s="878">
        <f>I23/G23</f>
        <v>1.0985204227651284</v>
      </c>
      <c r="L23" s="878"/>
      <c r="M23" s="879">
        <f>I23/F23</f>
        <v>1.1236029808797561</v>
      </c>
      <c r="N23" s="879"/>
      <c r="O23" s="65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pans="1:25" ht="41.45" customHeight="1" x14ac:dyDescent="0.3">
      <c r="A24" s="874" t="s">
        <v>639</v>
      </c>
      <c r="B24" s="874"/>
      <c r="C24" s="874"/>
      <c r="D24" s="894">
        <f>D20</f>
        <v>16507.198228128458</v>
      </c>
      <c r="E24" s="894"/>
      <c r="F24" s="698">
        <v>15649.5</v>
      </c>
      <c r="G24" s="895">
        <f>G16/G8/12*1000</f>
        <v>15977.976190476191</v>
      </c>
      <c r="H24" s="895"/>
      <c r="I24" s="895">
        <f>I12/I8/12*1000</f>
        <v>17549.404761904763</v>
      </c>
      <c r="J24" s="895"/>
      <c r="K24" s="878">
        <f>I24/G24</f>
        <v>1.0983496628543754</v>
      </c>
      <c r="L24" s="878"/>
      <c r="M24" s="879">
        <f>I24/F24</f>
        <v>1.1214035440049051</v>
      </c>
      <c r="N24" s="879"/>
      <c r="O24" s="65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 ht="18.75" customHeight="1" x14ac:dyDescent="0.3">
      <c r="A25" s="881" t="s">
        <v>580</v>
      </c>
      <c r="B25" s="881"/>
      <c r="C25" s="881"/>
      <c r="D25" s="897"/>
      <c r="E25" s="897"/>
      <c r="F25" s="699"/>
      <c r="G25" s="889"/>
      <c r="H25" s="889"/>
      <c r="I25" s="889" t="str">
        <f>I21</f>
        <v>-</v>
      </c>
      <c r="J25" s="889"/>
      <c r="K25" s="878"/>
      <c r="L25" s="878"/>
      <c r="M25" s="879"/>
      <c r="N25" s="879"/>
      <c r="O25" s="65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pans="1:25" ht="18.75" customHeight="1" x14ac:dyDescent="0.3">
      <c r="A26" s="881" t="s">
        <v>637</v>
      </c>
      <c r="B26" s="881"/>
      <c r="C26" s="881"/>
      <c r="D26" s="897">
        <f>D22</f>
        <v>24539.682539682537</v>
      </c>
      <c r="E26" s="897"/>
      <c r="F26" s="699">
        <f>F22</f>
        <v>25182.5</v>
      </c>
      <c r="G26" s="889">
        <v>25111.3</v>
      </c>
      <c r="H26" s="889"/>
      <c r="I26" s="889">
        <f>I22</f>
        <v>27545.833333333336</v>
      </c>
      <c r="J26" s="889"/>
      <c r="K26" s="878">
        <f t="shared" ref="K26" si="3">I26/G26</f>
        <v>1.096949713210122</v>
      </c>
      <c r="L26" s="878"/>
      <c r="M26" s="879">
        <f t="shared" ref="M26" si="4">I26/F26</f>
        <v>1.0938482411727721</v>
      </c>
      <c r="N26" s="879"/>
      <c r="O26" s="65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 ht="18.75" customHeight="1" x14ac:dyDescent="0.3">
      <c r="A27" s="881" t="s">
        <v>634</v>
      </c>
      <c r="B27" s="881"/>
      <c r="C27" s="881"/>
      <c r="D27" s="897">
        <f>D23</f>
        <v>15904.761904761903</v>
      </c>
      <c r="E27" s="897"/>
      <c r="F27" s="699">
        <f>F23</f>
        <v>14934.5</v>
      </c>
      <c r="G27" s="889">
        <v>15275.5</v>
      </c>
      <c r="H27" s="889"/>
      <c r="I27" s="889">
        <f>I23</f>
        <v>16780.448717948719</v>
      </c>
      <c r="J27" s="889"/>
      <c r="K27" s="878">
        <f>I27/G27</f>
        <v>1.0985204227651284</v>
      </c>
      <c r="L27" s="878"/>
      <c r="M27" s="879">
        <f>I27/F27</f>
        <v>1.1236029808797561</v>
      </c>
      <c r="N27" s="879"/>
      <c r="O27" s="65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pans="1:25" ht="12.75" customHeight="1" x14ac:dyDescent="0.2">
      <c r="A28" s="903"/>
      <c r="B28" s="903"/>
      <c r="C28" s="903"/>
      <c r="D28" s="903"/>
      <c r="E28" s="903"/>
      <c r="F28" s="903"/>
      <c r="G28" s="903"/>
      <c r="H28" s="903"/>
      <c r="I28" s="903"/>
      <c r="J28" s="903"/>
      <c r="K28" s="903"/>
      <c r="L28" s="903"/>
      <c r="M28" s="903"/>
      <c r="N28" s="903"/>
      <c r="O28" s="650"/>
      <c r="P28" s="10"/>
      <c r="Q28" s="10"/>
      <c r="R28" s="10"/>
      <c r="S28" s="54"/>
      <c r="T28" s="54"/>
      <c r="U28" s="54"/>
      <c r="V28" s="10"/>
      <c r="W28" s="10"/>
      <c r="X28" s="10"/>
      <c r="Y28" s="10"/>
    </row>
    <row r="29" spans="1:25" ht="36" customHeight="1" x14ac:dyDescent="0.2">
      <c r="A29" s="656" t="s">
        <v>640</v>
      </c>
      <c r="B29" s="657"/>
      <c r="C29" s="657"/>
      <c r="D29" s="657"/>
      <c r="E29" s="657"/>
      <c r="F29" s="657"/>
      <c r="G29" s="657"/>
      <c r="H29" s="657"/>
      <c r="I29" s="657"/>
      <c r="J29" s="650"/>
      <c r="K29" s="904"/>
      <c r="L29" s="904"/>
      <c r="M29" s="650"/>
      <c r="N29" s="650"/>
      <c r="O29" s="65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5" ht="42" customHeight="1" x14ac:dyDescent="0.2">
      <c r="A30" s="828" t="s">
        <v>641</v>
      </c>
      <c r="B30" s="828"/>
      <c r="C30" s="828"/>
      <c r="D30" s="905" t="s">
        <v>843</v>
      </c>
      <c r="E30" s="905"/>
      <c r="F30" s="905"/>
      <c r="G30" s="905"/>
      <c r="H30" s="906" t="s">
        <v>642</v>
      </c>
      <c r="I30" s="906"/>
      <c r="J30" s="906"/>
      <c r="K30" s="906"/>
      <c r="L30" s="906"/>
      <c r="M30" s="906"/>
      <c r="N30" s="906"/>
      <c r="O30" s="65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pans="1:25" ht="111.75" customHeight="1" x14ac:dyDescent="0.2">
      <c r="A31" s="828"/>
      <c r="B31" s="828"/>
      <c r="C31" s="828"/>
      <c r="D31" s="627" t="s">
        <v>643</v>
      </c>
      <c r="E31" s="627" t="s">
        <v>644</v>
      </c>
      <c r="F31" s="627" t="s">
        <v>645</v>
      </c>
      <c r="G31" s="658" t="s">
        <v>646</v>
      </c>
      <c r="H31" s="906"/>
      <c r="I31" s="906"/>
      <c r="J31" s="906"/>
      <c r="K31" s="906"/>
      <c r="L31" s="906"/>
      <c r="M31" s="906"/>
      <c r="N31" s="906"/>
      <c r="O31" s="65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5" ht="18" customHeight="1" x14ac:dyDescent="0.2">
      <c r="A32" s="907">
        <v>1</v>
      </c>
      <c r="B32" s="907"/>
      <c r="C32" s="907"/>
      <c r="D32" s="659">
        <v>2</v>
      </c>
      <c r="E32" s="659">
        <v>3</v>
      </c>
      <c r="F32" s="659">
        <v>4</v>
      </c>
      <c r="G32" s="660">
        <v>5</v>
      </c>
      <c r="H32" s="906">
        <v>6</v>
      </c>
      <c r="I32" s="906"/>
      <c r="J32" s="906"/>
      <c r="K32" s="906"/>
      <c r="L32" s="906"/>
      <c r="M32" s="906"/>
      <c r="N32" s="906"/>
      <c r="O32" s="661"/>
      <c r="P32" s="10"/>
      <c r="Q32" s="10"/>
      <c r="R32" s="495"/>
      <c r="S32" s="495"/>
      <c r="T32" s="496"/>
      <c r="U32" s="10"/>
      <c r="V32" s="10"/>
      <c r="W32" s="10"/>
      <c r="X32" s="10"/>
      <c r="Y32" s="10"/>
    </row>
    <row r="33" spans="1:26" ht="15" customHeight="1" x14ac:dyDescent="0.2">
      <c r="A33" s="907"/>
      <c r="B33" s="907"/>
      <c r="C33" s="907"/>
      <c r="D33" s="654" t="s">
        <v>647</v>
      </c>
      <c r="E33" s="662"/>
      <c r="F33" s="663"/>
      <c r="G33" s="664"/>
      <c r="H33" s="908"/>
      <c r="I33" s="908"/>
      <c r="J33" s="908"/>
      <c r="K33" s="908"/>
      <c r="L33" s="908"/>
      <c r="M33" s="908"/>
      <c r="N33" s="908"/>
      <c r="O33" s="665"/>
      <c r="P33" s="10"/>
      <c r="Q33" s="10"/>
      <c r="R33" s="497"/>
      <c r="S33" s="497"/>
      <c r="T33" s="498"/>
      <c r="U33" s="499"/>
      <c r="V33" s="499"/>
      <c r="W33" s="10"/>
      <c r="X33" s="10"/>
      <c r="Y33" s="10"/>
    </row>
    <row r="34" spans="1:26" ht="13.5" customHeight="1" x14ac:dyDescent="0.2">
      <c r="A34" s="907"/>
      <c r="B34" s="907"/>
      <c r="C34" s="907"/>
      <c r="D34" s="654" t="s">
        <v>648</v>
      </c>
      <c r="E34" s="662"/>
      <c r="F34" s="666"/>
      <c r="G34" s="664"/>
      <c r="H34" s="909"/>
      <c r="I34" s="909"/>
      <c r="J34" s="909"/>
      <c r="K34" s="909"/>
      <c r="L34" s="909"/>
      <c r="M34" s="909"/>
      <c r="N34" s="908"/>
      <c r="O34" s="665"/>
      <c r="P34" s="10"/>
      <c r="X34" s="10"/>
      <c r="Y34" s="10"/>
    </row>
    <row r="35" spans="1:26" ht="14.25" customHeight="1" x14ac:dyDescent="0.2">
      <c r="A35" s="907"/>
      <c r="B35" s="907"/>
      <c r="C35" s="907"/>
      <c r="D35" s="654" t="s">
        <v>647</v>
      </c>
      <c r="E35" s="662"/>
      <c r="F35" s="663"/>
      <c r="G35" s="664"/>
      <c r="H35" s="908"/>
      <c r="I35" s="908"/>
      <c r="J35" s="908"/>
      <c r="K35" s="908"/>
      <c r="L35" s="908"/>
      <c r="M35" s="908"/>
      <c r="N35" s="908"/>
      <c r="O35" s="665"/>
      <c r="P35" s="10"/>
      <c r="Q35" s="10"/>
      <c r="R35" s="497"/>
      <c r="S35" s="497"/>
      <c r="T35" s="498"/>
      <c r="U35" s="499"/>
      <c r="V35" s="499"/>
      <c r="W35" s="10"/>
      <c r="X35" s="10"/>
      <c r="Y35" s="10"/>
    </row>
    <row r="36" spans="1:26" ht="18" customHeight="1" x14ac:dyDescent="0.2">
      <c r="A36" s="907"/>
      <c r="B36" s="907"/>
      <c r="C36" s="907"/>
      <c r="D36" s="654" t="s">
        <v>648</v>
      </c>
      <c r="E36" s="662"/>
      <c r="F36" s="666"/>
      <c r="G36" s="664"/>
      <c r="H36" s="910"/>
      <c r="I36" s="910"/>
      <c r="J36" s="910"/>
      <c r="K36" s="910"/>
      <c r="L36" s="910"/>
      <c r="M36" s="910"/>
      <c r="N36" s="910"/>
      <c r="O36" s="665"/>
      <c r="P36" s="10"/>
      <c r="Q36" s="10"/>
      <c r="R36" s="497"/>
      <c r="S36" s="497"/>
      <c r="T36" s="498"/>
      <c r="U36" s="499"/>
      <c r="V36" s="499"/>
      <c r="W36" s="10"/>
      <c r="X36" s="10"/>
      <c r="Y36" s="500"/>
    </row>
    <row r="37" spans="1:26" ht="15" customHeight="1" x14ac:dyDescent="0.2">
      <c r="A37" s="907"/>
      <c r="B37" s="907"/>
      <c r="C37" s="907"/>
      <c r="D37" s="654" t="s">
        <v>648</v>
      </c>
      <c r="E37" s="662"/>
      <c r="F37" s="666"/>
      <c r="G37" s="664"/>
      <c r="H37" s="909"/>
      <c r="I37" s="909"/>
      <c r="J37" s="909"/>
      <c r="K37" s="909"/>
      <c r="L37" s="909"/>
      <c r="M37" s="909"/>
      <c r="N37" s="908"/>
      <c r="O37" s="643"/>
      <c r="P37" s="10"/>
      <c r="Q37" s="10"/>
      <c r="R37" s="497"/>
      <c r="S37" s="497"/>
      <c r="T37" s="501"/>
      <c r="U37" s="499"/>
      <c r="V37" s="499"/>
      <c r="W37" s="10"/>
      <c r="X37" s="10"/>
      <c r="Y37" s="10"/>
    </row>
    <row r="38" spans="1:26" ht="14.25" customHeight="1" x14ac:dyDescent="0.2">
      <c r="A38" s="907"/>
      <c r="B38" s="907"/>
      <c r="C38" s="907"/>
      <c r="D38" s="654" t="s">
        <v>649</v>
      </c>
      <c r="E38" s="662"/>
      <c r="F38" s="662"/>
      <c r="G38" s="664"/>
      <c r="H38" s="911"/>
      <c r="I38" s="911"/>
      <c r="J38" s="911"/>
      <c r="K38" s="911"/>
      <c r="L38" s="911"/>
      <c r="M38" s="911"/>
      <c r="N38" s="912"/>
      <c r="O38" s="643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6" ht="12.75" customHeight="1" x14ac:dyDescent="0.2">
      <c r="A39" s="907"/>
      <c r="B39" s="907"/>
      <c r="C39" s="907"/>
      <c r="D39" s="654"/>
      <c r="E39" s="667"/>
      <c r="F39" s="667"/>
      <c r="G39" s="668"/>
      <c r="H39" s="913"/>
      <c r="I39" s="913"/>
      <c r="J39" s="913"/>
      <c r="K39" s="913"/>
      <c r="L39" s="913"/>
      <c r="M39" s="913"/>
      <c r="N39" s="913"/>
      <c r="O39" s="643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6" ht="18" customHeight="1" x14ac:dyDescent="0.25">
      <c r="A40" s="669"/>
      <c r="B40" s="670"/>
      <c r="C40" s="670"/>
      <c r="D40" s="670"/>
      <c r="E40" s="670"/>
      <c r="F40" s="670"/>
      <c r="G40" s="670"/>
      <c r="H40" s="670"/>
      <c r="I40" s="670"/>
      <c r="J40" s="671"/>
      <c r="K40" s="670"/>
      <c r="L40" s="671"/>
      <c r="M40" s="671"/>
      <c r="N40" s="671"/>
      <c r="O40" s="650"/>
      <c r="P40" s="403"/>
      <c r="Q40" s="403"/>
      <c r="R40" s="403"/>
      <c r="S40" s="403"/>
      <c r="T40" s="403"/>
      <c r="U40" s="403"/>
      <c r="V40" s="403"/>
      <c r="W40" s="403"/>
      <c r="X40" s="403"/>
      <c r="Y40" s="403"/>
      <c r="Z40" s="502"/>
    </row>
    <row r="41" spans="1:26" ht="2.25" customHeight="1" x14ac:dyDescent="0.25">
      <c r="A41" s="655"/>
      <c r="B41" s="672"/>
      <c r="C41" s="672"/>
      <c r="D41" s="672"/>
      <c r="E41" s="672"/>
      <c r="F41" s="672"/>
      <c r="G41" s="672"/>
      <c r="H41" s="672"/>
      <c r="I41" s="672"/>
      <c r="J41" s="650"/>
      <c r="K41" s="672"/>
      <c r="L41" s="650"/>
      <c r="M41" s="650"/>
      <c r="N41" s="650"/>
      <c r="O41" s="650"/>
      <c r="P41" s="403"/>
      <c r="Q41" s="403"/>
      <c r="R41" s="403"/>
      <c r="S41" s="403"/>
      <c r="T41" s="403"/>
      <c r="U41" s="403"/>
      <c r="V41" s="403"/>
      <c r="W41" s="403"/>
      <c r="X41" s="403"/>
      <c r="Y41" s="403"/>
      <c r="Z41" s="502"/>
    </row>
    <row r="42" spans="1:26" ht="0.75" customHeight="1" x14ac:dyDescent="0.25">
      <c r="A42" s="655"/>
      <c r="B42" s="672"/>
      <c r="C42" s="672"/>
      <c r="D42" s="672"/>
      <c r="E42" s="672"/>
      <c r="F42" s="672"/>
      <c r="G42" s="672"/>
      <c r="H42" s="672"/>
      <c r="I42" s="672"/>
      <c r="J42" s="650"/>
      <c r="K42" s="672"/>
      <c r="L42" s="650"/>
      <c r="M42" s="650"/>
      <c r="N42" s="650"/>
      <c r="O42" s="650"/>
      <c r="P42" s="403"/>
      <c r="Q42" s="403"/>
      <c r="R42" s="403"/>
      <c r="S42" s="403"/>
      <c r="T42" s="403"/>
      <c r="U42" s="403"/>
      <c r="V42" s="403"/>
      <c r="W42" s="403"/>
      <c r="X42" s="403"/>
      <c r="Y42" s="403"/>
      <c r="Z42" s="502"/>
    </row>
    <row r="43" spans="1:26" ht="18" hidden="1" customHeight="1" x14ac:dyDescent="0.25">
      <c r="A43" s="672"/>
      <c r="B43" s="672"/>
      <c r="C43" s="672"/>
      <c r="D43" s="672"/>
      <c r="E43" s="672"/>
      <c r="F43" s="672"/>
      <c r="G43" s="672"/>
      <c r="H43" s="672"/>
      <c r="I43" s="672"/>
      <c r="J43" s="650"/>
      <c r="K43" s="672"/>
      <c r="L43" s="650"/>
      <c r="M43" s="650"/>
      <c r="N43" s="650"/>
      <c r="O43" s="650"/>
      <c r="P43" s="403"/>
      <c r="Q43" s="403"/>
      <c r="R43" s="403"/>
      <c r="S43" s="403"/>
      <c r="T43" s="403"/>
      <c r="U43" s="403"/>
      <c r="V43" s="403"/>
      <c r="W43" s="403"/>
      <c r="X43" s="403"/>
      <c r="Y43" s="403"/>
      <c r="Z43" s="502"/>
    </row>
    <row r="44" spans="1:26" ht="15.75" customHeight="1" x14ac:dyDescent="0.25">
      <c r="A44" s="672" t="s">
        <v>650</v>
      </c>
      <c r="B44" s="672"/>
      <c r="C44" s="672"/>
      <c r="D44" s="672"/>
      <c r="E44" s="672"/>
      <c r="F44" s="672"/>
      <c r="G44" s="672"/>
      <c r="H44" s="672"/>
      <c r="I44" s="672"/>
      <c r="J44" s="672"/>
      <c r="K44" s="672"/>
      <c r="L44" s="672"/>
      <c r="M44" s="672"/>
      <c r="N44" s="672"/>
      <c r="O44" s="650"/>
      <c r="P44" s="403"/>
      <c r="Q44" s="403"/>
      <c r="R44" s="403"/>
      <c r="S44" s="403"/>
      <c r="T44" s="403"/>
      <c r="U44" s="403"/>
      <c r="V44" s="403"/>
      <c r="W44" s="403"/>
      <c r="X44" s="403"/>
      <c r="Y44" s="403"/>
      <c r="Z44" s="502"/>
    </row>
    <row r="45" spans="1:26" ht="12" customHeight="1" x14ac:dyDescent="0.25">
      <c r="A45" s="650"/>
      <c r="B45" s="643"/>
      <c r="C45" s="650"/>
      <c r="D45" s="650"/>
      <c r="E45" s="650"/>
      <c r="F45" s="650"/>
      <c r="G45" s="650"/>
      <c r="H45" s="650"/>
      <c r="I45" s="650"/>
      <c r="J45" s="650"/>
      <c r="K45" s="650"/>
      <c r="L45" s="650"/>
      <c r="M45" s="650"/>
      <c r="N45" s="650"/>
      <c r="O45" s="650"/>
      <c r="P45" s="403"/>
      <c r="Q45" s="403"/>
      <c r="R45" s="403"/>
      <c r="S45" s="403"/>
      <c r="T45" s="403"/>
      <c r="U45" s="403"/>
      <c r="V45" s="403"/>
      <c r="W45" s="403"/>
      <c r="X45" s="403"/>
      <c r="Y45" s="403"/>
      <c r="Z45" s="502"/>
    </row>
    <row r="46" spans="1:26" ht="107.25" customHeight="1" x14ac:dyDescent="0.25">
      <c r="A46" s="627" t="s">
        <v>651</v>
      </c>
      <c r="B46" s="828" t="s">
        <v>652</v>
      </c>
      <c r="C46" s="828"/>
      <c r="D46" s="828" t="s">
        <v>653</v>
      </c>
      <c r="E46" s="828"/>
      <c r="F46" s="627" t="s">
        <v>654</v>
      </c>
      <c r="G46" s="828" t="s">
        <v>655</v>
      </c>
      <c r="H46" s="828"/>
      <c r="I46" s="828"/>
      <c r="J46" s="828" t="s">
        <v>656</v>
      </c>
      <c r="K46" s="828"/>
      <c r="L46" s="828" t="s">
        <v>657</v>
      </c>
      <c r="M46" s="828"/>
      <c r="N46" s="828"/>
      <c r="O46" s="650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502"/>
    </row>
    <row r="47" spans="1:26" ht="15.75" customHeight="1" x14ac:dyDescent="0.25">
      <c r="A47" s="628">
        <v>1</v>
      </c>
      <c r="B47" s="872">
        <v>2</v>
      </c>
      <c r="C47" s="872"/>
      <c r="D47" s="872">
        <v>3</v>
      </c>
      <c r="E47" s="872"/>
      <c r="F47" s="673">
        <v>4</v>
      </c>
      <c r="G47" s="872">
        <v>5</v>
      </c>
      <c r="H47" s="872"/>
      <c r="I47" s="872"/>
      <c r="J47" s="872">
        <v>6</v>
      </c>
      <c r="K47" s="872"/>
      <c r="L47" s="872">
        <v>7</v>
      </c>
      <c r="M47" s="872"/>
      <c r="N47" s="872"/>
      <c r="O47" s="650"/>
      <c r="P47" s="403"/>
      <c r="Q47" s="403"/>
      <c r="R47" s="403"/>
      <c r="S47" s="403"/>
      <c r="T47" s="403"/>
      <c r="U47" s="403"/>
      <c r="V47" s="403"/>
      <c r="W47" s="403"/>
      <c r="X47" s="403"/>
      <c r="Y47" s="403"/>
      <c r="Z47" s="502"/>
    </row>
    <row r="48" spans="1:26" ht="15.75" customHeight="1" x14ac:dyDescent="0.25">
      <c r="A48" s="636"/>
      <c r="B48" s="914"/>
      <c r="C48" s="914"/>
      <c r="D48" s="915"/>
      <c r="E48" s="915"/>
      <c r="F48" s="674"/>
      <c r="G48" s="828"/>
      <c r="H48" s="828"/>
      <c r="I48" s="828"/>
      <c r="J48" s="915"/>
      <c r="K48" s="915"/>
      <c r="L48" s="914"/>
      <c r="M48" s="914"/>
      <c r="N48" s="914"/>
      <c r="O48" s="650"/>
      <c r="P48" s="403"/>
      <c r="Q48" s="403"/>
      <c r="R48" s="403"/>
      <c r="S48" s="403"/>
      <c r="T48" s="403"/>
      <c r="U48" s="403"/>
      <c r="V48" s="403"/>
      <c r="W48" s="403"/>
      <c r="X48" s="403"/>
      <c r="Y48" s="403"/>
      <c r="Z48" s="502"/>
    </row>
    <row r="49" spans="1:26" ht="15.75" customHeight="1" x14ac:dyDescent="0.25">
      <c r="A49" s="636"/>
      <c r="B49" s="914"/>
      <c r="C49" s="914"/>
      <c r="D49" s="915"/>
      <c r="E49" s="915"/>
      <c r="F49" s="674"/>
      <c r="G49" s="828"/>
      <c r="H49" s="828"/>
      <c r="I49" s="828"/>
      <c r="J49" s="915"/>
      <c r="K49" s="915"/>
      <c r="L49" s="914"/>
      <c r="M49" s="914"/>
      <c r="N49" s="914"/>
      <c r="O49" s="650"/>
      <c r="P49" s="403"/>
      <c r="Q49" s="403"/>
      <c r="R49" s="403"/>
      <c r="S49" s="403"/>
      <c r="T49" s="403"/>
      <c r="U49" s="403"/>
      <c r="V49" s="403"/>
      <c r="W49" s="403"/>
      <c r="X49" s="403"/>
      <c r="Y49" s="403"/>
      <c r="Z49" s="502"/>
    </row>
    <row r="50" spans="1:26" ht="15.75" customHeight="1" x14ac:dyDescent="0.25">
      <c r="A50" s="636"/>
      <c r="B50" s="914"/>
      <c r="C50" s="914"/>
      <c r="D50" s="915"/>
      <c r="E50" s="915"/>
      <c r="F50" s="674"/>
      <c r="G50" s="828"/>
      <c r="H50" s="828"/>
      <c r="I50" s="828"/>
      <c r="J50" s="915"/>
      <c r="K50" s="915"/>
      <c r="L50" s="914"/>
      <c r="M50" s="914"/>
      <c r="N50" s="914"/>
      <c r="O50" s="650"/>
      <c r="P50" s="403"/>
      <c r="Q50" s="403"/>
      <c r="R50" s="403"/>
      <c r="S50" s="403"/>
      <c r="T50" s="403"/>
      <c r="U50" s="403"/>
      <c r="V50" s="403"/>
      <c r="W50" s="403"/>
      <c r="X50" s="403"/>
      <c r="Y50" s="403"/>
      <c r="Z50" s="502"/>
    </row>
    <row r="51" spans="1:26" ht="15.75" customHeight="1" x14ac:dyDescent="0.25">
      <c r="A51" s="636" t="s">
        <v>337</v>
      </c>
      <c r="B51" s="828" t="s">
        <v>658</v>
      </c>
      <c r="C51" s="828"/>
      <c r="D51" s="828" t="s">
        <v>658</v>
      </c>
      <c r="E51" s="828"/>
      <c r="F51" s="627" t="s">
        <v>658</v>
      </c>
      <c r="G51" s="828"/>
      <c r="H51" s="828"/>
      <c r="I51" s="828"/>
      <c r="J51" s="915">
        <f>ROUND(SUM(J48:K50),2)</f>
        <v>0</v>
      </c>
      <c r="K51" s="915"/>
      <c r="L51" s="914"/>
      <c r="M51" s="914"/>
      <c r="N51" s="914"/>
      <c r="O51" s="650"/>
      <c r="P51" s="403"/>
      <c r="Q51" s="403"/>
      <c r="R51" s="403"/>
      <c r="S51" s="403"/>
      <c r="T51" s="403"/>
      <c r="U51" s="403"/>
      <c r="V51" s="403"/>
      <c r="W51" s="403"/>
      <c r="X51" s="403"/>
      <c r="Y51" s="403"/>
      <c r="Z51" s="502"/>
    </row>
    <row r="52" spans="1:26" ht="6" customHeight="1" x14ac:dyDescent="0.25">
      <c r="A52" s="653"/>
      <c r="B52" s="643"/>
      <c r="C52" s="643"/>
      <c r="D52" s="643"/>
      <c r="E52" s="643"/>
      <c r="F52" s="643"/>
      <c r="G52" s="643"/>
      <c r="H52" s="643"/>
      <c r="I52" s="643"/>
      <c r="J52" s="650"/>
      <c r="K52" s="650"/>
      <c r="L52" s="650"/>
      <c r="M52" s="650"/>
      <c r="N52" s="650"/>
      <c r="O52" s="650"/>
      <c r="P52" s="403"/>
      <c r="Q52" s="403"/>
      <c r="R52" s="403"/>
      <c r="S52" s="403"/>
      <c r="T52" s="403"/>
      <c r="U52" s="403"/>
      <c r="V52" s="403"/>
      <c r="W52" s="403"/>
      <c r="X52" s="403"/>
      <c r="Y52" s="403"/>
      <c r="Z52" s="502"/>
    </row>
    <row r="53" spans="1:26" ht="21" customHeight="1" x14ac:dyDescent="0.25">
      <c r="A53" s="672" t="s">
        <v>659</v>
      </c>
      <c r="B53" s="672"/>
      <c r="C53" s="672"/>
      <c r="D53" s="672"/>
      <c r="E53" s="672"/>
      <c r="F53" s="672"/>
      <c r="G53" s="672"/>
      <c r="H53" s="672"/>
      <c r="I53" s="672"/>
      <c r="J53" s="672"/>
      <c r="K53" s="672"/>
      <c r="L53" s="672"/>
      <c r="M53" s="672"/>
      <c r="N53" s="672"/>
      <c r="O53" s="650"/>
      <c r="P53" s="403"/>
      <c r="Q53" s="403"/>
      <c r="R53" s="403"/>
      <c r="S53" s="403"/>
      <c r="T53" s="403"/>
      <c r="U53" s="403"/>
      <c r="V53" s="403"/>
      <c r="W53" s="403"/>
      <c r="X53" s="403"/>
      <c r="Y53" s="403"/>
      <c r="Z53" s="502"/>
    </row>
    <row r="54" spans="1:26" ht="54.75" customHeight="1" x14ac:dyDescent="0.25">
      <c r="A54" s="828" t="s">
        <v>660</v>
      </c>
      <c r="B54" s="828"/>
      <c r="C54" s="828"/>
      <c r="D54" s="828" t="s">
        <v>661</v>
      </c>
      <c r="E54" s="828"/>
      <c r="F54" s="828"/>
      <c r="G54" s="828"/>
      <c r="H54" s="828"/>
      <c r="I54" s="828" t="s">
        <v>662</v>
      </c>
      <c r="J54" s="828"/>
      <c r="K54" s="828"/>
      <c r="L54" s="828" t="s">
        <v>663</v>
      </c>
      <c r="M54" s="828"/>
      <c r="N54" s="828"/>
      <c r="O54" s="650"/>
      <c r="P54" s="403"/>
      <c r="Q54" s="403"/>
      <c r="R54" s="403"/>
      <c r="S54" s="403"/>
      <c r="T54" s="403"/>
      <c r="U54" s="403"/>
      <c r="V54" s="403"/>
      <c r="W54" s="403"/>
      <c r="X54" s="403"/>
      <c r="Y54" s="403"/>
      <c r="Z54" s="502"/>
    </row>
    <row r="55" spans="1:26" ht="15.75" customHeight="1" x14ac:dyDescent="0.25">
      <c r="A55" s="828">
        <v>1</v>
      </c>
      <c r="B55" s="828"/>
      <c r="C55" s="828"/>
      <c r="D55" s="828">
        <v>2</v>
      </c>
      <c r="E55" s="828"/>
      <c r="F55" s="828"/>
      <c r="G55" s="828"/>
      <c r="H55" s="828"/>
      <c r="I55" s="872">
        <v>4</v>
      </c>
      <c r="J55" s="872"/>
      <c r="K55" s="872"/>
      <c r="L55" s="872">
        <v>5</v>
      </c>
      <c r="M55" s="872"/>
      <c r="N55" s="872"/>
      <c r="O55" s="650"/>
      <c r="P55" s="403"/>
      <c r="Q55" s="403"/>
      <c r="R55" s="403"/>
      <c r="S55" s="403"/>
      <c r="T55" s="403"/>
      <c r="U55" s="403"/>
      <c r="V55" s="403"/>
      <c r="W55" s="403"/>
      <c r="X55" s="403"/>
      <c r="Y55" s="403"/>
      <c r="Z55" s="502"/>
    </row>
    <row r="56" spans="1:26" ht="16.5" customHeight="1" x14ac:dyDescent="0.25">
      <c r="A56" s="881" t="s">
        <v>664</v>
      </c>
      <c r="B56" s="881"/>
      <c r="C56" s="881"/>
      <c r="D56" s="915"/>
      <c r="E56" s="915"/>
      <c r="F56" s="915"/>
      <c r="G56" s="915"/>
      <c r="H56" s="915"/>
      <c r="I56" s="915"/>
      <c r="J56" s="915"/>
      <c r="K56" s="915"/>
      <c r="L56" s="915"/>
      <c r="M56" s="915"/>
      <c r="N56" s="915"/>
      <c r="O56" s="650"/>
      <c r="P56" s="403"/>
      <c r="Q56" s="403"/>
      <c r="R56" s="403"/>
      <c r="S56" s="403"/>
      <c r="T56" s="403"/>
      <c r="U56" s="403"/>
      <c r="V56" s="403"/>
      <c r="W56" s="403"/>
      <c r="X56" s="403"/>
      <c r="Y56" s="403"/>
      <c r="Z56" s="502"/>
    </row>
    <row r="57" spans="1:26" ht="15.75" customHeight="1" x14ac:dyDescent="0.25">
      <c r="A57" s="881" t="s">
        <v>665</v>
      </c>
      <c r="B57" s="881"/>
      <c r="C57" s="881"/>
      <c r="D57" s="915"/>
      <c r="E57" s="915"/>
      <c r="F57" s="915"/>
      <c r="G57" s="915"/>
      <c r="H57" s="915"/>
      <c r="I57" s="915"/>
      <c r="J57" s="915"/>
      <c r="K57" s="915"/>
      <c r="L57" s="915"/>
      <c r="M57" s="915"/>
      <c r="N57" s="915"/>
      <c r="O57" s="650"/>
      <c r="P57" s="403"/>
      <c r="Q57" s="403"/>
      <c r="R57" s="403"/>
      <c r="S57" s="403"/>
      <c r="T57" s="403"/>
      <c r="U57" s="403"/>
      <c r="V57" s="403"/>
      <c r="W57" s="403"/>
      <c r="X57" s="403"/>
      <c r="Y57" s="403"/>
      <c r="Z57" s="502"/>
    </row>
    <row r="58" spans="1:26" ht="6" hidden="1" customHeight="1" x14ac:dyDescent="0.25">
      <c r="A58" s="881"/>
      <c r="B58" s="881"/>
      <c r="C58" s="881"/>
      <c r="D58" s="915"/>
      <c r="E58" s="915"/>
      <c r="F58" s="915"/>
      <c r="G58" s="915"/>
      <c r="H58" s="915"/>
      <c r="I58" s="915"/>
      <c r="J58" s="915"/>
      <c r="K58" s="915"/>
      <c r="L58" s="915"/>
      <c r="M58" s="915"/>
      <c r="N58" s="915"/>
      <c r="O58" s="650"/>
      <c r="P58" s="403"/>
      <c r="Q58" s="403"/>
      <c r="R58" s="403"/>
      <c r="S58" s="403"/>
      <c r="T58" s="403"/>
      <c r="U58" s="403"/>
      <c r="V58" s="403"/>
      <c r="W58" s="403"/>
      <c r="X58" s="403"/>
      <c r="Y58" s="403"/>
      <c r="Z58" s="502"/>
    </row>
    <row r="59" spans="1:26" ht="20.25" customHeight="1" x14ac:dyDescent="0.25">
      <c r="A59" s="881" t="s">
        <v>666</v>
      </c>
      <c r="B59" s="881"/>
      <c r="C59" s="881"/>
      <c r="D59" s="915"/>
      <c r="E59" s="915"/>
      <c r="F59" s="915"/>
      <c r="G59" s="915"/>
      <c r="H59" s="915"/>
      <c r="I59" s="915"/>
      <c r="J59" s="915"/>
      <c r="K59" s="915"/>
      <c r="L59" s="915"/>
      <c r="M59" s="915"/>
      <c r="N59" s="915"/>
      <c r="O59" s="650"/>
      <c r="P59" s="403"/>
      <c r="Q59" s="403"/>
      <c r="R59" s="403"/>
      <c r="S59" s="403"/>
      <c r="T59" s="403"/>
      <c r="U59" s="403"/>
      <c r="V59" s="403"/>
      <c r="W59" s="403"/>
      <c r="X59" s="403"/>
      <c r="Y59" s="403"/>
      <c r="Z59" s="502"/>
    </row>
    <row r="60" spans="1:26" ht="15.75" customHeight="1" x14ac:dyDescent="0.25">
      <c r="A60" s="881" t="s">
        <v>667</v>
      </c>
      <c r="B60" s="881"/>
      <c r="C60" s="881"/>
      <c r="D60" s="915"/>
      <c r="E60" s="915"/>
      <c r="F60" s="915"/>
      <c r="G60" s="915"/>
      <c r="H60" s="915"/>
      <c r="I60" s="915"/>
      <c r="J60" s="915"/>
      <c r="K60" s="915"/>
      <c r="L60" s="915"/>
      <c r="M60" s="915"/>
      <c r="N60" s="915"/>
      <c r="O60" s="650"/>
      <c r="P60" s="403"/>
      <c r="Q60" s="403"/>
      <c r="R60" s="403"/>
      <c r="S60" s="403"/>
      <c r="T60" s="403"/>
      <c r="U60" s="403"/>
      <c r="V60" s="403"/>
      <c r="W60" s="403"/>
      <c r="X60" s="403"/>
      <c r="Y60" s="403"/>
      <c r="Z60" s="502"/>
    </row>
    <row r="61" spans="1:26" ht="15.75" customHeight="1" x14ac:dyDescent="0.25">
      <c r="A61" s="881"/>
      <c r="B61" s="881"/>
      <c r="C61" s="881"/>
      <c r="D61" s="915"/>
      <c r="E61" s="915"/>
      <c r="F61" s="915"/>
      <c r="G61" s="915"/>
      <c r="H61" s="915"/>
      <c r="I61" s="915"/>
      <c r="J61" s="915"/>
      <c r="K61" s="915"/>
      <c r="L61" s="915"/>
      <c r="M61" s="915"/>
      <c r="N61" s="915"/>
      <c r="O61" s="650"/>
      <c r="P61" s="403"/>
      <c r="Q61" s="403"/>
      <c r="R61" s="403"/>
      <c r="S61" s="403"/>
      <c r="T61" s="403"/>
      <c r="U61" s="403"/>
      <c r="V61" s="403"/>
      <c r="W61" s="403"/>
      <c r="X61" s="403"/>
      <c r="Y61" s="403"/>
      <c r="Z61" s="502"/>
    </row>
    <row r="62" spans="1:26" ht="16.5" customHeight="1" x14ac:dyDescent="0.25">
      <c r="A62" s="881" t="s">
        <v>668</v>
      </c>
      <c r="B62" s="881"/>
      <c r="C62" s="881"/>
      <c r="D62" s="915"/>
      <c r="E62" s="915"/>
      <c r="F62" s="915"/>
      <c r="G62" s="915"/>
      <c r="H62" s="915"/>
      <c r="I62" s="915"/>
      <c r="J62" s="915"/>
      <c r="K62" s="915"/>
      <c r="L62" s="915"/>
      <c r="M62" s="915"/>
      <c r="N62" s="915"/>
      <c r="O62" s="650"/>
      <c r="P62" s="403"/>
      <c r="Q62" s="403"/>
      <c r="R62" s="403"/>
      <c r="S62" s="403"/>
      <c r="T62" s="403"/>
      <c r="U62" s="403"/>
      <c r="V62" s="403"/>
      <c r="W62" s="403"/>
      <c r="X62" s="403"/>
      <c r="Y62" s="403"/>
      <c r="Z62" s="502"/>
    </row>
    <row r="63" spans="1:26" ht="15.75" customHeight="1" x14ac:dyDescent="0.25">
      <c r="A63" s="881" t="s">
        <v>665</v>
      </c>
      <c r="B63" s="881"/>
      <c r="C63" s="881"/>
      <c r="D63" s="915"/>
      <c r="E63" s="915"/>
      <c r="F63" s="915"/>
      <c r="G63" s="915"/>
      <c r="H63" s="915"/>
      <c r="I63" s="915"/>
      <c r="J63" s="915"/>
      <c r="K63" s="915"/>
      <c r="L63" s="915"/>
      <c r="M63" s="915"/>
      <c r="N63" s="915"/>
      <c r="O63" s="650"/>
      <c r="P63" s="403"/>
      <c r="Q63" s="403"/>
      <c r="R63" s="403"/>
      <c r="S63" s="403"/>
      <c r="T63" s="403"/>
      <c r="U63" s="403"/>
      <c r="V63" s="403"/>
      <c r="W63" s="403"/>
      <c r="X63" s="403"/>
      <c r="Y63" s="403"/>
      <c r="Z63" s="502"/>
    </row>
    <row r="64" spans="1:26" ht="15.75" customHeight="1" x14ac:dyDescent="0.25">
      <c r="A64" s="881"/>
      <c r="B64" s="881"/>
      <c r="C64" s="881"/>
      <c r="D64" s="915"/>
      <c r="E64" s="915"/>
      <c r="F64" s="915"/>
      <c r="G64" s="915"/>
      <c r="H64" s="915"/>
      <c r="I64" s="915"/>
      <c r="J64" s="915"/>
      <c r="K64" s="915"/>
      <c r="L64" s="915"/>
      <c r="M64" s="915"/>
      <c r="N64" s="915"/>
      <c r="O64" s="650"/>
      <c r="P64" s="403"/>
      <c r="Q64" s="403"/>
      <c r="R64" s="403"/>
      <c r="S64" s="403"/>
      <c r="T64" s="403"/>
      <c r="U64" s="403"/>
      <c r="V64" s="403"/>
      <c r="W64" s="403"/>
      <c r="X64" s="403"/>
      <c r="Y64" s="403"/>
      <c r="Z64" s="502"/>
    </row>
    <row r="65" spans="1:26" ht="15.75" customHeight="1" x14ac:dyDescent="0.25">
      <c r="A65" s="881" t="s">
        <v>337</v>
      </c>
      <c r="B65" s="881"/>
      <c r="C65" s="881"/>
      <c r="D65" s="916"/>
      <c r="E65" s="916"/>
      <c r="F65" s="916"/>
      <c r="G65" s="916"/>
      <c r="H65" s="916"/>
      <c r="I65" s="915"/>
      <c r="J65" s="915"/>
      <c r="K65" s="915"/>
      <c r="L65" s="915"/>
      <c r="M65" s="915"/>
      <c r="N65" s="915"/>
      <c r="O65" s="650"/>
      <c r="P65" s="403"/>
      <c r="Q65" s="403"/>
      <c r="R65" s="403"/>
      <c r="S65" s="403"/>
      <c r="T65" s="403"/>
      <c r="U65" s="403"/>
      <c r="V65" s="403"/>
      <c r="W65" s="403"/>
      <c r="X65" s="403"/>
      <c r="Y65" s="403"/>
      <c r="Z65" s="502"/>
    </row>
    <row r="66" spans="1:26" ht="12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</sheetData>
  <mergeCells count="257">
    <mergeCell ref="A65:C65"/>
    <mergeCell ref="D65:F65"/>
    <mergeCell ref="G65:H65"/>
    <mergeCell ref="I65:K65"/>
    <mergeCell ref="L65:N65"/>
    <mergeCell ref="A63:C63"/>
    <mergeCell ref="D63:F63"/>
    <mergeCell ref="G63:H63"/>
    <mergeCell ref="I63:K63"/>
    <mergeCell ref="L63:N63"/>
    <mergeCell ref="A64:C64"/>
    <mergeCell ref="D64:F64"/>
    <mergeCell ref="G64:H64"/>
    <mergeCell ref="I64:K64"/>
    <mergeCell ref="L64:N64"/>
    <mergeCell ref="A61:C61"/>
    <mergeCell ref="D61:F61"/>
    <mergeCell ref="G61:H61"/>
    <mergeCell ref="I61:K61"/>
    <mergeCell ref="L61:N61"/>
    <mergeCell ref="A62:C62"/>
    <mergeCell ref="D62:F62"/>
    <mergeCell ref="G62:H62"/>
    <mergeCell ref="I62:K62"/>
    <mergeCell ref="L62:N62"/>
    <mergeCell ref="A59:C59"/>
    <mergeCell ref="D59:F59"/>
    <mergeCell ref="G59:H59"/>
    <mergeCell ref="I59:K59"/>
    <mergeCell ref="L59:N59"/>
    <mergeCell ref="A60:C60"/>
    <mergeCell ref="D60:F60"/>
    <mergeCell ref="G60:H60"/>
    <mergeCell ref="I60:K60"/>
    <mergeCell ref="L60:N60"/>
    <mergeCell ref="A57:C57"/>
    <mergeCell ref="D57:F57"/>
    <mergeCell ref="G57:H57"/>
    <mergeCell ref="I57:K57"/>
    <mergeCell ref="L57:N57"/>
    <mergeCell ref="A58:C58"/>
    <mergeCell ref="D58:F58"/>
    <mergeCell ref="G58:H58"/>
    <mergeCell ref="I58:K58"/>
    <mergeCell ref="L58:N58"/>
    <mergeCell ref="A55:C55"/>
    <mergeCell ref="D55:F55"/>
    <mergeCell ref="G55:H55"/>
    <mergeCell ref="I55:K55"/>
    <mergeCell ref="L55:N55"/>
    <mergeCell ref="A56:C56"/>
    <mergeCell ref="D56:F56"/>
    <mergeCell ref="G56:H56"/>
    <mergeCell ref="I56:K56"/>
    <mergeCell ref="L56:N56"/>
    <mergeCell ref="B51:C51"/>
    <mergeCell ref="D51:E51"/>
    <mergeCell ref="G51:I51"/>
    <mergeCell ref="J51:K51"/>
    <mergeCell ref="L51:N51"/>
    <mergeCell ref="A54:C54"/>
    <mergeCell ref="D54:F54"/>
    <mergeCell ref="G54:H54"/>
    <mergeCell ref="I54:K54"/>
    <mergeCell ref="L54:N54"/>
    <mergeCell ref="B49:C49"/>
    <mergeCell ref="D49:E49"/>
    <mergeCell ref="G49:I49"/>
    <mergeCell ref="J49:K49"/>
    <mergeCell ref="L49:N49"/>
    <mergeCell ref="B50:C50"/>
    <mergeCell ref="D50:E50"/>
    <mergeCell ref="G50:I50"/>
    <mergeCell ref="J50:K50"/>
    <mergeCell ref="L50:N50"/>
    <mergeCell ref="B47:C47"/>
    <mergeCell ref="D47:E47"/>
    <mergeCell ref="G47:I47"/>
    <mergeCell ref="J47:K47"/>
    <mergeCell ref="L47:N47"/>
    <mergeCell ref="B48:C48"/>
    <mergeCell ref="D48:E48"/>
    <mergeCell ref="G48:I48"/>
    <mergeCell ref="J48:K48"/>
    <mergeCell ref="L48:N48"/>
    <mergeCell ref="A37:C37"/>
    <mergeCell ref="H37:N37"/>
    <mergeCell ref="A38:C38"/>
    <mergeCell ref="H38:N38"/>
    <mergeCell ref="A39:C39"/>
    <mergeCell ref="H39:N39"/>
    <mergeCell ref="B46:C46"/>
    <mergeCell ref="D46:E46"/>
    <mergeCell ref="G46:I46"/>
    <mergeCell ref="J46:K46"/>
    <mergeCell ref="L46:N46"/>
    <mergeCell ref="A32:C32"/>
    <mergeCell ref="H32:N32"/>
    <mergeCell ref="A33:C33"/>
    <mergeCell ref="H33:N33"/>
    <mergeCell ref="A34:C34"/>
    <mergeCell ref="H34:N34"/>
    <mergeCell ref="A35:C35"/>
    <mergeCell ref="H35:N35"/>
    <mergeCell ref="A36:C36"/>
    <mergeCell ref="H36:N36"/>
    <mergeCell ref="A27:C27"/>
    <mergeCell ref="D27:E27"/>
    <mergeCell ref="G27:H27"/>
    <mergeCell ref="I27:J27"/>
    <mergeCell ref="K27:L27"/>
    <mergeCell ref="M27:N27"/>
    <mergeCell ref="A28:N28"/>
    <mergeCell ref="K29:L29"/>
    <mergeCell ref="A30:C31"/>
    <mergeCell ref="D30:G30"/>
    <mergeCell ref="H30:N31"/>
    <mergeCell ref="A25:C25"/>
    <mergeCell ref="D25:E25"/>
    <mergeCell ref="G25:H25"/>
    <mergeCell ref="I25:J25"/>
    <mergeCell ref="K25:L25"/>
    <mergeCell ref="M25:N25"/>
    <mergeCell ref="A26:C26"/>
    <mergeCell ref="D26:E26"/>
    <mergeCell ref="G26:H26"/>
    <mergeCell ref="I26:J26"/>
    <mergeCell ref="K26:L26"/>
    <mergeCell ref="M26:N26"/>
    <mergeCell ref="A23:C23"/>
    <mergeCell ref="D23:E23"/>
    <mergeCell ref="G23:H23"/>
    <mergeCell ref="I23:J23"/>
    <mergeCell ref="K23:L23"/>
    <mergeCell ref="M23:N23"/>
    <mergeCell ref="A24:C24"/>
    <mergeCell ref="D24:E24"/>
    <mergeCell ref="G24:H24"/>
    <mergeCell ref="I24:J24"/>
    <mergeCell ref="K24:L24"/>
    <mergeCell ref="M24:N24"/>
    <mergeCell ref="A21:C21"/>
    <mergeCell ref="D21:E21"/>
    <mergeCell ref="G21:H21"/>
    <mergeCell ref="I21:J21"/>
    <mergeCell ref="K21:L21"/>
    <mergeCell ref="M21:N21"/>
    <mergeCell ref="A22:C22"/>
    <mergeCell ref="D22:E22"/>
    <mergeCell ref="G22:H22"/>
    <mergeCell ref="I22:J22"/>
    <mergeCell ref="K22:L22"/>
    <mergeCell ref="M22:N22"/>
    <mergeCell ref="A19:C19"/>
    <mergeCell ref="D19:E19"/>
    <mergeCell ref="G19:H19"/>
    <mergeCell ref="I19:J19"/>
    <mergeCell ref="K19:L19"/>
    <mergeCell ref="M19:N19"/>
    <mergeCell ref="Q19:R19"/>
    <mergeCell ref="A20:C20"/>
    <mergeCell ref="D20:E20"/>
    <mergeCell ref="G20:H20"/>
    <mergeCell ref="I20:J20"/>
    <mergeCell ref="K20:L20"/>
    <mergeCell ref="M20:N20"/>
    <mergeCell ref="Q20:R20"/>
    <mergeCell ref="A17:C17"/>
    <mergeCell ref="D17:E17"/>
    <mergeCell ref="G17:H17"/>
    <mergeCell ref="I17:J17"/>
    <mergeCell ref="K17:L17"/>
    <mergeCell ref="M17:N17"/>
    <mergeCell ref="A18:C18"/>
    <mergeCell ref="D18:E18"/>
    <mergeCell ref="G18:H18"/>
    <mergeCell ref="I18:J18"/>
    <mergeCell ref="K18:L18"/>
    <mergeCell ref="M18:N18"/>
    <mergeCell ref="A15:C15"/>
    <mergeCell ref="D15:E15"/>
    <mergeCell ref="G15:H15"/>
    <mergeCell ref="I15:J15"/>
    <mergeCell ref="K15:L15"/>
    <mergeCell ref="M15:N15"/>
    <mergeCell ref="A16:C16"/>
    <mergeCell ref="D16:E16"/>
    <mergeCell ref="G16:H16"/>
    <mergeCell ref="I16:J16"/>
    <mergeCell ref="K16:L16"/>
    <mergeCell ref="M16:N16"/>
    <mergeCell ref="A13:C13"/>
    <mergeCell ref="D13:E13"/>
    <mergeCell ref="G13:H13"/>
    <mergeCell ref="I13:J13"/>
    <mergeCell ref="K13:L13"/>
    <mergeCell ref="M13:N13"/>
    <mergeCell ref="A14:C14"/>
    <mergeCell ref="D14:E14"/>
    <mergeCell ref="G14:H14"/>
    <mergeCell ref="I14:J14"/>
    <mergeCell ref="K14:L14"/>
    <mergeCell ref="M14:N14"/>
    <mergeCell ref="A11:C11"/>
    <mergeCell ref="D11:E11"/>
    <mergeCell ref="G11:H11"/>
    <mergeCell ref="I11:J11"/>
    <mergeCell ref="K11:L11"/>
    <mergeCell ref="M11:N11"/>
    <mergeCell ref="A12:C12"/>
    <mergeCell ref="D12:E12"/>
    <mergeCell ref="G12:H12"/>
    <mergeCell ref="I12:J12"/>
    <mergeCell ref="K12:L12"/>
    <mergeCell ref="M12:N12"/>
    <mergeCell ref="A9:C9"/>
    <mergeCell ref="D9:E9"/>
    <mergeCell ref="G9:H9"/>
    <mergeCell ref="I9:J9"/>
    <mergeCell ref="K9:L9"/>
    <mergeCell ref="M9:N9"/>
    <mergeCell ref="P9:V9"/>
    <mergeCell ref="A10:C10"/>
    <mergeCell ref="D10:E10"/>
    <mergeCell ref="G10:H10"/>
    <mergeCell ref="I10:J10"/>
    <mergeCell ref="K10:L10"/>
    <mergeCell ref="M10:N10"/>
    <mergeCell ref="P10:U10"/>
    <mergeCell ref="A7:C7"/>
    <mergeCell ref="D7:E7"/>
    <mergeCell ref="G7:H7"/>
    <mergeCell ref="I7:J7"/>
    <mergeCell ref="K7:L7"/>
    <mergeCell ref="M7:N7"/>
    <mergeCell ref="Q7:R7"/>
    <mergeCell ref="A8:C8"/>
    <mergeCell ref="D8:E8"/>
    <mergeCell ref="G8:H8"/>
    <mergeCell ref="I8:J8"/>
    <mergeCell ref="K8:L8"/>
    <mergeCell ref="M8:N8"/>
    <mergeCell ref="P8:V8"/>
    <mergeCell ref="A1:N1"/>
    <mergeCell ref="A2:N2"/>
    <mergeCell ref="A3:N3"/>
    <mergeCell ref="Q3:R3"/>
    <mergeCell ref="A4:N4"/>
    <mergeCell ref="Q4:R4"/>
    <mergeCell ref="A5:N5"/>
    <mergeCell ref="A6:C6"/>
    <mergeCell ref="D6:E6"/>
    <mergeCell ref="G6:H6"/>
    <mergeCell ref="I6:J6"/>
    <mergeCell ref="K6:L6"/>
    <mergeCell ref="M6:N6"/>
    <mergeCell ref="Q6:R6"/>
  </mergeCells>
  <printOptions horizontalCentered="1"/>
  <pageMargins left="0.25" right="0.25" top="0.75" bottom="0.75" header="0.3" footer="0.3"/>
  <pageSetup paperSize="9" scale="63" firstPageNumber="0" fitToHeight="0" pageOrder="overThenDown" orientation="landscape" horizontalDpi="300" verticalDpi="300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45</vt:i4>
      </vt:variant>
    </vt:vector>
  </HeadingPairs>
  <TitlesOfParts>
    <vt:vector size="59" baseType="lpstr">
      <vt:lpstr>Осн. фін. пок.</vt:lpstr>
      <vt:lpstr>I. Фін результат_8,0%</vt:lpstr>
      <vt:lpstr>ІІ. Розр. з бюджетом</vt:lpstr>
      <vt:lpstr>ІІІ. Рух грош. коштів</vt:lpstr>
      <vt:lpstr>IV. Кап. інвестиції</vt:lpstr>
      <vt:lpstr> V. Коефіцієнти</vt:lpstr>
      <vt:lpstr>до плану Посадові оклади</vt:lpstr>
      <vt:lpstr>Розр ФОП на кв_рік</vt:lpstr>
      <vt:lpstr>6.1. Інша інфо_1</vt:lpstr>
      <vt:lpstr>6.2. Інша інфо_2</vt:lpstr>
      <vt:lpstr>дод2_претенз позов робо</vt:lpstr>
      <vt:lpstr>дод3 Майно</vt:lpstr>
      <vt:lpstr>дод4 інфо по діяльності</vt:lpstr>
      <vt:lpstr>штатний 2 проєкт</vt:lpstr>
      <vt:lpstr>'I. Фін результат_8,0%'!_ER_</vt:lpstr>
      <vt:lpstr>'I. Фін результат_8,0%'!_FilterDatabase_0</vt:lpstr>
      <vt:lpstr>'I. Фін результат_8,0%'!_FilterDatabase_0_0</vt:lpstr>
      <vt:lpstr>'I. Фін результат_8,0%'!_FilterDatabase_0_0_0</vt:lpstr>
      <vt:lpstr>'I. Фін результат_8,0%'!_FilterDatabase_0_0_0_0</vt:lpstr>
      <vt:lpstr>'I. Фін результат_8,0%'!_FilterDatabase_0_0_0_0_0</vt:lpstr>
      <vt:lpstr>'I. Фін результат_8,0%'!_FilterDatabase_0_0_0_0_0_0</vt:lpstr>
      <vt:lpstr>'I. Фін результат_8,0%'!_FilterDatabase_0_0_0_0_0_0_0</vt:lpstr>
      <vt:lpstr>'I. Фін результат_8,0%'!_GF_</vt:lpstr>
      <vt:lpstr>'I. Фін результат_8,0%'!_I_O</vt:lpstr>
      <vt:lpstr>'I. Фін результат_8,0%'!_JI_</vt:lpstr>
      <vt:lpstr>'I. Фін результат_8,0%'!_OI_</vt:lpstr>
      <vt:lpstr>'I. Фін результат_8,0%'!_SD_</vt:lpstr>
      <vt:lpstr>'I. Фін результат_8,0%'!_YT_I</vt:lpstr>
      <vt:lpstr>'I. Фін результат_8,0%'!_АП_</vt:lpstr>
      <vt:lpstr>'I. Фін результат_8,0%'!_ПР_</vt:lpstr>
      <vt:lpstr>'I. Фін результат_8,0%'!Excel_BuiltIn__FilterDatabase</vt:lpstr>
      <vt:lpstr>'6.1. Інша інфо_1'!Excel_BuiltIn_Print_Area</vt:lpstr>
      <vt:lpstr>'6.2. Інша інфо_2'!Excel_BuiltIn_Print_Area</vt:lpstr>
      <vt:lpstr>'I. Фін результат_8,0%'!Excel_BuiltIn_Print_Area</vt:lpstr>
      <vt:lpstr>'Розр ФОП на кв_рік'!Excel_BuiltIn_Print_Area</vt:lpstr>
      <vt:lpstr>'штатний 2 проєкт'!Excel_BuiltIn_Print_Area</vt:lpstr>
      <vt:lpstr>'6.1. Інша інфо_1'!Print_Area_0</vt:lpstr>
      <vt:lpstr>'6.2. Інша інфо_2'!Print_Area_0</vt:lpstr>
      <vt:lpstr>'I. Фін результат_8,0%'!Print_Area_0</vt:lpstr>
      <vt:lpstr>'до плану Посадові оклади'!Print_Area_0</vt:lpstr>
      <vt:lpstr>'дод3 Майно'!Print_Area_0</vt:lpstr>
      <vt:lpstr>'дод4 інфо по діяльності'!Print_Area_0</vt:lpstr>
      <vt:lpstr>'ІІ. Розр. з бюджетом'!Print_Area_0</vt:lpstr>
      <vt:lpstr>'ІІІ. Рух грош. коштів'!Print_Area_0</vt:lpstr>
      <vt:lpstr>'Осн. фін. пок.'!Print_Area_0</vt:lpstr>
      <vt:lpstr>'Розр ФОП на кв_рік'!Print_Area_0</vt:lpstr>
      <vt:lpstr>'штатний 2 проєкт'!Print_Area_0</vt:lpstr>
      <vt:lpstr>'I. Фін результат_8,0%'!Print_Titles_0</vt:lpstr>
      <vt:lpstr>'I. Фін результат_8,0%'!Заголовки_для_печати</vt:lpstr>
      <vt:lpstr>'6.1. Інша інфо_1'!Область_печати</vt:lpstr>
      <vt:lpstr>'6.2. Інша інфо_2'!Область_печати</vt:lpstr>
      <vt:lpstr>'I. Фін результат_8,0%'!Область_печати</vt:lpstr>
      <vt:lpstr>'до плану Посадові оклади'!Область_печати</vt:lpstr>
      <vt:lpstr>'дод4 інфо по діяльності'!Область_печати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  <vt:lpstr>'Розр ФОП на кв_рік'!Область_печати</vt:lpstr>
      <vt:lpstr>'штатний 2 проєкт'!Область_печати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</dc:creator>
  <cp:lastModifiedBy>Тетяна Яковець</cp:lastModifiedBy>
  <cp:revision>3</cp:revision>
  <cp:lastPrinted>2025-12-19T09:54:29Z</cp:lastPrinted>
  <dcterms:created xsi:type="dcterms:W3CDTF">2024-06-10T07:12:00Z</dcterms:created>
  <dcterms:modified xsi:type="dcterms:W3CDTF">2025-12-19T09:55:14Z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CV">
    <vt:lpwstr>88C794222C99408D963E3B69B139F4BA_13</vt:lpwstr>
  </property>
  <property fmtid="{D5CDD505-2E9C-101B-9397-08002B2CF9AE}" pid="6" name="KSOProductBuildVer">
    <vt:lpwstr>1049-12.2.0.18911</vt:lpwstr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